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zsfps01.mzcr.cz\plochy$\MZUzilovap\OD_kalkulace\"/>
    </mc:Choice>
  </mc:AlternateContent>
  <xr:revisionPtr revIDLastSave="0" documentId="13_ncr:1_{41AA772E-B0F2-4C03-9C63-F87CC4B54C48}" xr6:coauthVersionLast="47" xr6:coauthVersionMax="47" xr10:uidLastSave="{00000000-0000-0000-0000-000000000000}"/>
  <bookViews>
    <workbookView xWindow="-110" yWindow="-110" windowWidth="19420" windowHeight="10420" xr2:uid="{28F74873-5F62-4340-BCD7-B5C1435D7FF2}"/>
  </bookViews>
  <sheets>
    <sheet name="kalkulační list" sheetId="1" r:id="rId1"/>
    <sheet name="material a leky" sheetId="5" r:id="rId2"/>
    <sheet name="přístroje" sheetId="4" r:id="rId3"/>
    <sheet name="nositele číselník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  <c r="B24" i="1"/>
  <c r="B26" i="1"/>
  <c r="I28" i="5"/>
  <c r="H28" i="5"/>
  <c r="C28" i="5"/>
  <c r="J27" i="5"/>
  <c r="D27" i="5"/>
  <c r="J26" i="5"/>
  <c r="D26" i="5"/>
  <c r="J25" i="5"/>
  <c r="D25" i="5"/>
  <c r="J24" i="5"/>
  <c r="D24" i="5"/>
  <c r="J23" i="5"/>
  <c r="D23" i="5"/>
  <c r="J22" i="5"/>
  <c r="D22" i="5"/>
  <c r="J21" i="5"/>
  <c r="D21" i="5"/>
  <c r="J20" i="5"/>
  <c r="D20" i="5"/>
  <c r="J19" i="5"/>
  <c r="D19" i="5"/>
  <c r="J18" i="5"/>
  <c r="D18" i="5"/>
  <c r="J17" i="5"/>
  <c r="D17" i="5"/>
  <c r="J16" i="5"/>
  <c r="D16" i="5"/>
  <c r="J15" i="5"/>
  <c r="D15" i="5"/>
  <c r="J14" i="5"/>
  <c r="D14" i="5"/>
  <c r="J13" i="5"/>
  <c r="D13" i="5"/>
  <c r="J12" i="5"/>
  <c r="D12" i="5"/>
  <c r="J11" i="5"/>
  <c r="D11" i="5"/>
  <c r="J10" i="5"/>
  <c r="D10" i="5"/>
  <c r="J9" i="5"/>
  <c r="D9" i="5"/>
  <c r="J8" i="5"/>
  <c r="D8" i="5"/>
  <c r="J7" i="5"/>
  <c r="D7" i="5"/>
  <c r="J6" i="5"/>
  <c r="D6" i="5"/>
  <c r="J5" i="5"/>
  <c r="D5" i="5"/>
  <c r="J4" i="5"/>
  <c r="D4" i="5"/>
  <c r="J3" i="5"/>
  <c r="D3" i="5"/>
  <c r="J2" i="5"/>
  <c r="J28" i="5" s="1"/>
  <c r="D2" i="5"/>
  <c r="D28" i="5" s="1"/>
  <c r="H7" i="4" l="1"/>
  <c r="H8" i="4"/>
  <c r="H11" i="4"/>
  <c r="H12" i="4"/>
  <c r="H13" i="4"/>
  <c r="H14" i="4"/>
  <c r="H15" i="4"/>
  <c r="H32" i="4"/>
  <c r="H31" i="4"/>
  <c r="H30" i="4"/>
  <c r="H28" i="4"/>
  <c r="H27" i="4"/>
  <c r="F4" i="4"/>
  <c r="F7" i="4"/>
  <c r="F6" i="4"/>
  <c r="F32" i="4" l="1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9" i="4"/>
  <c r="F8" i="4"/>
  <c r="H9" i="4" l="1"/>
  <c r="H16" i="4"/>
  <c r="H17" i="4"/>
  <c r="H23" i="4"/>
  <c r="H24" i="4"/>
  <c r="H25" i="4"/>
  <c r="H26" i="4"/>
  <c r="E20" i="1"/>
  <c r="D20" i="1"/>
  <c r="E16" i="1"/>
  <c r="D16" i="1"/>
  <c r="D13" i="1"/>
  <c r="D14" i="1"/>
  <c r="D15" i="1"/>
  <c r="D17" i="1"/>
  <c r="D18" i="1"/>
  <c r="D19" i="1"/>
  <c r="D12" i="1"/>
  <c r="J32" i="4" l="1"/>
  <c r="L32" i="4" s="1"/>
  <c r="N32" i="4" l="1"/>
  <c r="M32" i="4"/>
  <c r="J3" i="4" l="1"/>
  <c r="L3" i="4" s="1"/>
  <c r="N3" i="4" s="1"/>
  <c r="J4" i="4"/>
  <c r="L4" i="4" s="1"/>
  <c r="N4" i="4" s="1"/>
  <c r="J5" i="4"/>
  <c r="L5" i="4" s="1"/>
  <c r="J6" i="4"/>
  <c r="L6" i="4" s="1"/>
  <c r="J7" i="4"/>
  <c r="L7" i="4" s="1"/>
  <c r="J8" i="4"/>
  <c r="L8" i="4" s="1"/>
  <c r="J10" i="4"/>
  <c r="L10" i="4" s="1"/>
  <c r="J11" i="4"/>
  <c r="L11" i="4" s="1"/>
  <c r="N11" i="4" s="1"/>
  <c r="J12" i="4"/>
  <c r="L12" i="4" s="1"/>
  <c r="J13" i="4"/>
  <c r="L13" i="4" s="1"/>
  <c r="J15" i="4"/>
  <c r="L15" i="4" s="1"/>
  <c r="J16" i="4"/>
  <c r="L16" i="4" s="1"/>
  <c r="N16" i="4" s="1"/>
  <c r="J17" i="4"/>
  <c r="L17" i="4" s="1"/>
  <c r="N17" i="4" s="1"/>
  <c r="J18" i="4"/>
  <c r="L18" i="4" s="1"/>
  <c r="J19" i="4"/>
  <c r="L19" i="4" s="1"/>
  <c r="J20" i="4"/>
  <c r="L20" i="4" s="1"/>
  <c r="N20" i="4" s="1"/>
  <c r="J21" i="4"/>
  <c r="L21" i="4" s="1"/>
  <c r="N21" i="4" s="1"/>
  <c r="J24" i="4"/>
  <c r="J26" i="4"/>
  <c r="L26" i="4" s="1"/>
  <c r="J27" i="4"/>
  <c r="L27" i="4" s="1"/>
  <c r="J28" i="4"/>
  <c r="L28" i="4" s="1"/>
  <c r="J29" i="4"/>
  <c r="L29" i="4" s="1"/>
  <c r="J31" i="4"/>
  <c r="L31" i="4" s="1"/>
  <c r="J2" i="4"/>
  <c r="L2" i="4" s="1"/>
  <c r="N2" i="4" s="1"/>
  <c r="J14" i="4"/>
  <c r="L14" i="4" s="1"/>
  <c r="N14" i="4" s="1"/>
  <c r="J22" i="4"/>
  <c r="L22" i="4" s="1"/>
  <c r="J30" i="4"/>
  <c r="L30" i="4" s="1"/>
  <c r="J9" i="4"/>
  <c r="L9" i="4" s="1"/>
  <c r="J25" i="4"/>
  <c r="L25" i="4" s="1"/>
  <c r="J23" i="4"/>
  <c r="L23" i="4" s="1"/>
  <c r="N23" i="4" s="1"/>
  <c r="E13" i="1"/>
  <c r="E14" i="1"/>
  <c r="E15" i="1"/>
  <c r="E17" i="1"/>
  <c r="E18" i="1"/>
  <c r="E19" i="1"/>
  <c r="E12" i="1"/>
  <c r="N13" i="4" l="1"/>
  <c r="N12" i="4"/>
  <c r="N7" i="4"/>
  <c r="L24" i="4"/>
  <c r="M24" i="4" s="1"/>
  <c r="N19" i="4"/>
  <c r="N29" i="4"/>
  <c r="N6" i="4"/>
  <c r="N5" i="4"/>
  <c r="N9" i="4"/>
  <c r="N28" i="4"/>
  <c r="N30" i="4"/>
  <c r="N10" i="4"/>
  <c r="N31" i="4"/>
  <c r="N22" i="4"/>
  <c r="N25" i="4"/>
  <c r="N8" i="4"/>
  <c r="N26" i="4"/>
  <c r="N15" i="4"/>
  <c r="N27" i="4"/>
  <c r="N18" i="4"/>
  <c r="M18" i="4"/>
  <c r="M2" i="4"/>
  <c r="M31" i="4"/>
  <c r="M30" i="4"/>
  <c r="M27" i="4"/>
  <c r="M25" i="4"/>
  <c r="M19" i="4"/>
  <c r="M11" i="4"/>
  <c r="M10" i="4"/>
  <c r="M8" i="4"/>
  <c r="M6" i="4"/>
  <c r="M16" i="4"/>
  <c r="M12" i="4"/>
  <c r="M22" i="4"/>
  <c r="M23" i="4"/>
  <c r="M20" i="4"/>
  <c r="M14" i="4"/>
  <c r="M17" i="4"/>
  <c r="M13" i="4"/>
  <c r="M4" i="4"/>
  <c r="M5" i="4"/>
  <c r="M28" i="4"/>
  <c r="M3" i="4"/>
  <c r="M15" i="4"/>
  <c r="F15" i="2"/>
  <c r="G15" i="2" s="1"/>
  <c r="D15" i="2"/>
  <c r="F14" i="2"/>
  <c r="G14" i="2" s="1"/>
  <c r="G17" i="1" s="1"/>
  <c r="D14" i="2"/>
  <c r="F13" i="2"/>
  <c r="G13" i="2" s="1"/>
  <c r="G18" i="1" s="1"/>
  <c r="D13" i="2"/>
  <c r="F12" i="2"/>
  <c r="G12" i="2" s="1"/>
  <c r="G19" i="1" s="1"/>
  <c r="D12" i="2"/>
  <c r="F11" i="2"/>
  <c r="G11" i="2" s="1"/>
  <c r="G12" i="1" s="1"/>
  <c r="D11" i="2"/>
  <c r="F10" i="2"/>
  <c r="G10" i="2" s="1"/>
  <c r="G13" i="1" s="1"/>
  <c r="D10" i="2"/>
  <c r="F9" i="2"/>
  <c r="G9" i="2" s="1"/>
  <c r="D9" i="2"/>
  <c r="F8" i="2"/>
  <c r="G8" i="2" s="1"/>
  <c r="D8" i="2"/>
  <c r="F7" i="2"/>
  <c r="G7" i="2" s="1"/>
  <c r="G14" i="1" s="1"/>
  <c r="D7" i="2"/>
  <c r="F6" i="2"/>
  <c r="G6" i="2" s="1"/>
  <c r="D6" i="2"/>
  <c r="F5" i="2"/>
  <c r="G5" i="2" s="1"/>
  <c r="G20" i="1" s="1"/>
  <c r="D5" i="2"/>
  <c r="F4" i="2"/>
  <c r="G4" i="2" s="1"/>
  <c r="D4" i="2"/>
  <c r="F3" i="2"/>
  <c r="G3" i="2" s="1"/>
  <c r="D3" i="2"/>
  <c r="F2" i="2"/>
  <c r="G2" i="2" s="1"/>
  <c r="D2" i="2"/>
  <c r="G16" i="1" l="1"/>
  <c r="G15" i="1"/>
  <c r="B10" i="1" s="1"/>
  <c r="N24" i="4"/>
  <c r="O24" i="4" s="1"/>
  <c r="O23" i="4"/>
  <c r="M9" i="4"/>
  <c r="O9" i="4" s="1"/>
  <c r="M26" i="4"/>
  <c r="O18" i="4"/>
  <c r="O4" i="4"/>
  <c r="M21" i="4"/>
  <c r="O21" i="4" s="1"/>
  <c r="O11" i="4"/>
  <c r="O3" i="4"/>
  <c r="O19" i="4"/>
  <c r="O12" i="4"/>
  <c r="O6" i="4"/>
  <c r="O14" i="4"/>
  <c r="O22" i="4"/>
  <c r="O2" i="4"/>
  <c r="M29" i="4"/>
  <c r="O10" i="4"/>
  <c r="O8" i="4"/>
  <c r="M7" i="4"/>
  <c r="O7" i="4" s="1"/>
  <c r="O15" i="4"/>
  <c r="O5" i="4"/>
  <c r="O20" i="4"/>
  <c r="O13" i="4"/>
  <c r="O17" i="4"/>
  <c r="B28" i="1" l="1"/>
  <c r="B32" i="1" l="1"/>
  <c r="B34" i="1" l="1"/>
  <c r="B33" i="1"/>
  <c r="B35" i="1"/>
  <c r="B3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tc={F264EF70-17B6-41F8-AAB5-5370C2058765}</author>
    <author>tc={BE583C89-2984-474D-B8F3-3AA6C27B7C47}</author>
    <author>tc={A8696A36-B870-4B5D-BA70-2AD140E36837}</author>
  </authors>
  <commentList>
    <comment ref="C14" authorId="0" shapeId="0" xr:uid="{F264EF70-17B6-41F8-AAB5-5370C205876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Sníženo oproti vyhlášce č. 99/2012 z 1 na 0,8 úvazku z důvodu nižšího personálního standardu pro dlouhodobou lůžkovou péči v CKP oproti CKP jako celku</t>
      </text>
    </comment>
    <comment ref="C18" authorId="1" shapeId="0" xr:uid="{BE583C89-2984-474D-B8F3-3AA6C27B7C4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Sníženo oproti vyhlášce č. 99/2012 z 7 na 6 úvazků z důvodu nižšího personálního standardu pro dlouhodobou lůžkovou péči v CKP oproti CKP jako celku</t>
      </text>
    </comment>
    <comment ref="B30" authorId="2" shapeId="0" xr:uid="{A8696A36-B870-4B5D-BA70-2AD140E3683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smlouvě mezi zdravotní pojišťovnou a poskytovatelem lze, na základě ekonomicky zdůvodněných nezbytných nákladů, dohodnout vyšší hodnotu režie přiřazené k OD, než je ve vyhlášce uvedena, nejvýše však do výše 400 %.
Ve smlouvě mezi zdravotní pojišťovnou a poskytovatelem lze, na základě ekonomicky zdůvodněných nezbytných nákladů, dohodnout nižší hodnotu režie přiřazené k OD, než je ve vyhlášce uvedena, nejvýše však do výše 30 %.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tc={42DF53DF-0423-4716-9127-6BF8313D3783}</author>
    <author>tc={E7F90EE9-9FD2-4C0E-B69E-609474724208}</author>
    <author>tc={9A5E7933-2900-4EFE-93B6-6D6DF7DD4E27}</author>
    <author>tc={0471C74F-4006-4854-9388-39FBD19F6C8F}</author>
    <author>tc={E91D17B5-849B-4AB1-B85C-3D700C0F470A}</author>
    <author>tc={06428554-B0F7-4210-9257-F2F5FCC79590}</author>
    <author>tc={8A510E4C-F853-4DA8-838B-1246D63C8190}</author>
    <author>tc={DD0F5C31-FCE7-4D3A-86A7-627036A829F8}</author>
    <author>tc={2B219FC1-BB3E-4A54-9E38-CF8D3680EE0F}</author>
    <author>tc={DDC01066-3039-4C63-BF15-E06C9EF8141E}</author>
    <author>tc={0F76F667-A800-469B-B6DD-D85AE46F7C37}</author>
    <author>tc={A4DA4242-51A4-4F99-B50F-39D6BD10C195}</author>
    <author>tc={2A4F3C13-4D11-4BC9-BA34-EA6717E679ED}</author>
    <author>tc={B0B151F8-948D-440B-8E17-25BEF7B85EED}</author>
    <author>tc={BA574FD9-6FD1-44F3-ABD5-A426E1E64AF8}</author>
    <author>tc={6DD14C68-E978-4802-A3ED-FB814E3EBD28}</author>
    <author>tc={EC78DC0D-ADF0-4EEC-AC9B-5A7A95CF8C7E}</author>
    <author>tc={85F68373-86D4-4461-9BF2-E9EAE4501988}</author>
    <author>tc={807C3BAA-B7A6-46B8-9B14-9148677F3453}</author>
    <author>tc={B47BA17B-4B97-4D74-92FA-0DC11B15C76F}</author>
    <author>tc={1994BC21-5989-4B91-8A79-38B34B8A03AE}</author>
    <author>tc={3FC04359-A520-4CA1-AF47-82E6DD2B6B61}</author>
    <author>tc={64A5196B-0441-466F-AD08-8D8BA818D9FB}</author>
  </authors>
  <commentList>
    <comment ref="H1" authorId="0" shapeId="0" xr:uid="{42DF53DF-0423-4716-9127-6BF8313D3783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4 hodiny denně při ceně přístroje -K- do 1 milionu Kč
6 hodiny denně při ceně přístroje -K- od 1 do 5 milionů Kč
12 hodin denně při ceně přístroje -K- 5 milionů Kč a více
</t>
      </text>
    </comment>
    <comment ref="A12" authorId="1" shapeId="0" xr:uid="{E7F90EE9-9FD2-4C0E-B69E-609474724208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např. Baffin Automatic – elektrické polohovací židle 3v1, VakuForm vakuové polohovatelné vaky, polohovací pomůcky od firmy Vitapur, Motomed do lůžka LAYSON.kidz.la MADISSON, REDCORD
</t>
      </text>
    </comment>
    <comment ref="A13" authorId="2" shapeId="0" xr:uid="{9A5E7933-2900-4EFE-93B6-6D6DF7DD4E27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např. Bosu, velké míče, owerball, pěnové míčky, labilní plochy, balanční podložky, senzomotorický kobereček a chodníček, závěsná houpačka, houpací prkno UTUKUTU, SM systém pomůcky, masážní ježci, válečky, pomůcky na procvičení jemné motoriky ruky, Snoezelen-MSE (Multisensory Environment) s komponenty jako jsou bublinkové válce, hvězdné nebe, projektory s olejovými nebo tematickými kotoučky, optická vlákna, aroma lampy, zrcadlové koule, speciální pohodlný měkký nábytek, vibrační pohovky, houpačky, vodní postele a další
</t>
      </text>
    </comment>
    <comment ref="A14" authorId="3" shapeId="0" xr:uid="{0471C74F-4006-4854-9388-39FBD19F6C8F}">
      <text>
        <t xml:space="preserve"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kousadla, pozicionéry a pomůcky pro stimulací orofaciální oblasti, PC vybavení na alternativní komunikaci a další
</t>
      </text>
    </comment>
    <comment ref="A15" authorId="4" shapeId="0" xr:uid="{E91D17B5-849B-4AB1-B85C-3D700C0F470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např. Rebox – reboxová terapie (kód pro pojišťovnu 21113), Vibramoov (nehradí pojišťovna), PodoCam (kód pro pojišťovnu 21017), ultrazvuk – ZIMMER ELEKTROMEDIZIN – SONO 5, Magnet – RENAISSANCE – LETTINO nebo Magnet MADISSON, Kombinovaný přístroj PhysioGo 300A MADISSON, BIOLAMPA, laser</t>
      </text>
    </comment>
    <comment ref="A16" authorId="5" shapeId="0" xr:uid="{06428554-B0F7-4210-9257-F2F5FCC7959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režie - zde s nulovou hodnotou</t>
      </text>
    </comment>
    <comment ref="O16" authorId="6" shapeId="0" xr:uid="{8A510E4C-F853-4DA8-838B-1246D63C819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25" authorId="7" shapeId="0" xr:uid="{DD0F5C31-FCE7-4D3A-86A7-627036A829F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25" authorId="8" shapeId="0" xr:uid="{2B219FC1-BB3E-4A54-9E38-CF8D3680EE0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26" authorId="9" shapeId="0" xr:uid="{DDC01066-3039-4C63-BF15-E06C9EF8141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26" authorId="10" shapeId="0" xr:uid="{0F76F667-A800-469B-B6DD-D85AE46F7C3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27" authorId="11" shapeId="0" xr:uid="{A4DA4242-51A4-4F99-B50F-39D6BD10C19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27" authorId="12" shapeId="0" xr:uid="{2A4F3C13-4D11-4BC9-BA34-EA6717E679E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28" authorId="13" shapeId="0" xr:uid="{B0B151F8-948D-440B-8E17-25BEF7B85EE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28" authorId="14" shapeId="0" xr:uid="{BA574FD9-6FD1-44F3-ABD5-A426E1E64AF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29" authorId="15" shapeId="0" xr:uid="{6DD14C68-E978-4802-A3ED-FB814E3EBD2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29" authorId="16" shapeId="0" xr:uid="{EC78DC0D-ADF0-4EEC-AC9B-5A7A95CF8C7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30" authorId="17" shapeId="0" xr:uid="{85F68373-86D4-4461-9BF2-E9EAE450198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30" authorId="18" shapeId="0" xr:uid="{807C3BAA-B7A6-46B8-9B14-9148677F345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31" authorId="19" shapeId="0" xr:uid="{B47BA17B-4B97-4D74-92FA-0DC11B15C76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31" authorId="20" shapeId="0" xr:uid="{1994BC21-5989-4B91-8A79-38B34B8A03A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  <comment ref="A32" authorId="21" shapeId="0" xr:uid="{3FC04359-A520-4CA1-AF47-82E6DD2B6B6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režii, zde s nulovou hodnotou.</t>
      </text>
    </comment>
    <comment ref="O32" authorId="22" shapeId="0" xr:uid="{64A5196B-0441-466F-AD08-8D8BA818D9F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Zahrnuto v režii</t>
      </text>
    </comment>
  </commentList>
</comments>
</file>

<file path=xl/sharedStrings.xml><?xml version="1.0" encoding="utf-8"?>
<sst xmlns="http://schemas.openxmlformats.org/spreadsheetml/2006/main" count="178" uniqueCount="135">
  <si>
    <t>Název OD</t>
  </si>
  <si>
    <t>Číslo OD</t>
  </si>
  <si>
    <t>Autorská odbornost</t>
  </si>
  <si>
    <t>Velikost stanice</t>
  </si>
  <si>
    <t>Obložnost</t>
  </si>
  <si>
    <t>funkce</t>
  </si>
  <si>
    <t>symbol</t>
  </si>
  <si>
    <t>mzdový index</t>
  </si>
  <si>
    <t>další požadavky</t>
  </si>
  <si>
    <t>L3</t>
  </si>
  <si>
    <t>L2</t>
  </si>
  <si>
    <t>L1</t>
  </si>
  <si>
    <t>nositelé výkonu:</t>
  </si>
  <si>
    <t>K2</t>
  </si>
  <si>
    <t>K3</t>
  </si>
  <si>
    <t>fyzioterapeut</t>
  </si>
  <si>
    <t>klinický psycholog</t>
  </si>
  <si>
    <t>S2</t>
  </si>
  <si>
    <t>S1</t>
  </si>
  <si>
    <t>ZPBD</t>
  </si>
  <si>
    <t>ZPOD</t>
  </si>
  <si>
    <t>Léčivé přípravky:</t>
  </si>
  <si>
    <t>Materiál:</t>
  </si>
  <si>
    <t>Přístroje:</t>
  </si>
  <si>
    <t>1/lůž</t>
  </si>
  <si>
    <t>1/odd.</t>
  </si>
  <si>
    <t>Režie</t>
  </si>
  <si>
    <t>Kod</t>
  </si>
  <si>
    <t>Popis</t>
  </si>
  <si>
    <t>Hodnota</t>
  </si>
  <si>
    <t>Vyse 2025</t>
  </si>
  <si>
    <t>základní minutová sazba 2025</t>
  </si>
  <si>
    <t>základní minutová sazba 2026</t>
  </si>
  <si>
    <t>výše 2026</t>
  </si>
  <si>
    <t>D1</t>
  </si>
  <si>
    <t>sestra domácí péče pod odborným dohledem (ZPOD)</t>
  </si>
  <si>
    <t>D2</t>
  </si>
  <si>
    <t>sestra domácí péče bez odborného dohledu (ZPBD)</t>
  </si>
  <si>
    <t>D3</t>
  </si>
  <si>
    <t>sestra domácí péče bez odborného dohledu se specializovanou způsobilostí v příslušném oboru (ZPBD s příslušnou specializací)</t>
  </si>
  <si>
    <t>J1</t>
  </si>
  <si>
    <t>Jiný VŠ pracovník ve zdravotnictví (JOP) s odbornou způsobilostí</t>
  </si>
  <si>
    <t>K1</t>
  </si>
  <si>
    <t xml:space="preserve">logoped, fyzioterapeut, zrakový terapeut (VNP), radiologický fyzik, odborný pracovník v laboratorních metodách a v přípravě LP, biomedicínský inženýr a odborný pracovník v ochraně a podpoře veřejného zdraví s odbornou způsobilostí </t>
  </si>
  <si>
    <t>logoped, fyzioterapeut, zrakový terapeut (VNP), radiologický fyzik, odborný pracovník v laboratorních metodách a v přípravě LP, biomedicínský inženýr a odborný pracovník v ochraně a podpoře veřejného zdraví se specializovanou způsobilostí</t>
  </si>
  <si>
    <t>logoped, fyzioterapeut, zrakový terapeut (VNP) se zvláštní odbornou způsobilostí (certifikační kurzy)</t>
  </si>
  <si>
    <t>lékař, zubní lékař a farmaceut absolvent VŠ</t>
  </si>
  <si>
    <t>lékař, zubní lékař a farmaceut po absolvování základního kmene (dle vyhl. 185/2009)</t>
  </si>
  <si>
    <t>lékař, zubní lékař a farmaceut se specializovanou způsobilostí</t>
  </si>
  <si>
    <t>NLZP pod odborným dohledem nebo přímým vedením (ZPOD)</t>
  </si>
  <si>
    <t>NLZP bez odborného dohledu (ZPBD)</t>
  </si>
  <si>
    <t>S3</t>
  </si>
  <si>
    <t>NLZP bez odborného dohledu se specializovanou způsobilostí nebo zvláštní odbornou způsobilostí (ZPBD s příslušnou specializací)</t>
  </si>
  <si>
    <t>S4</t>
  </si>
  <si>
    <t>NLZP s VŠ vzděláním, spec. způsobilostí nebo zvláštní odbornou způsobilostí</t>
  </si>
  <si>
    <t>nazev</t>
  </si>
  <si>
    <t>dan</t>
  </si>
  <si>
    <t>cena K</t>
  </si>
  <si>
    <t>životnost O</t>
  </si>
  <si>
    <t>Náklady na údržbu za rok S</t>
  </si>
  <si>
    <t>doba použití R</t>
  </si>
  <si>
    <t>Celková doba použití přístroje M=OxPxR</t>
  </si>
  <si>
    <t>náklady na specifickou údržbu J=SxO/L</t>
  </si>
  <si>
    <t>náklady na amortizaci I=K/L</t>
  </si>
  <si>
    <t>náklad na přístroj C=I+J</t>
  </si>
  <si>
    <t>Strava:</t>
  </si>
  <si>
    <t>Hodnota OD:</t>
  </si>
  <si>
    <t>defibrilátor</t>
  </si>
  <si>
    <t>enterální pumpa</t>
  </si>
  <si>
    <t>dávkovač stříkačkový</t>
  </si>
  <si>
    <t>pulzní oxymetr</t>
  </si>
  <si>
    <t>počet použití přístroje L=M/N</t>
  </si>
  <si>
    <t>počet dle vyhlášky č. 92/2012</t>
  </si>
  <si>
    <t>1/odd</t>
  </si>
  <si>
    <t>2/odd</t>
  </si>
  <si>
    <t>přepočet na obsazené lůžko</t>
  </si>
  <si>
    <t>Ošetřovací den dlouhodobé lůžkové péče poskytovaná dětem v Centrech komplexní péče</t>
  </si>
  <si>
    <t>00038</t>
  </si>
  <si>
    <t xml:space="preserve">pediatr, dětský lékař nebo praktický lékař pro děti a dorost </t>
  </si>
  <si>
    <t xml:space="preserve">lékař s odbornou způsobilostí s certifikátem o absolvování základního kmene pediatrického </t>
  </si>
  <si>
    <t xml:space="preserve">dětská sestra </t>
  </si>
  <si>
    <t xml:space="preserve">všeobecná sestra nebo praktická sestra </t>
  </si>
  <si>
    <t>sanitář nebo ošetřovatel</t>
  </si>
  <si>
    <t>počet úvazků na stanici dle vyhlášky</t>
  </si>
  <si>
    <t>přepočteno na průměrný čas na lůžko za kalendářní den</t>
  </si>
  <si>
    <t>polohovací lůžka</t>
  </si>
  <si>
    <t>antidekubitní podložky nebo matrace včetně aktivních</t>
  </si>
  <si>
    <t xml:space="preserve">monitory vitálních funkcí (EKG/RESP, NIBP, SpO2) 1 ks na 3 lůžka </t>
  </si>
  <si>
    <t>odsávačky</t>
  </si>
  <si>
    <t>zařízení pro zvlhčování dýchacích cest (zvlhčovače, nebulizátory)</t>
  </si>
  <si>
    <t>inhalátory pro individuální terapii</t>
  </si>
  <si>
    <t>sprchovací lůžka a křesla</t>
  </si>
  <si>
    <t>mechanické pojízdné křeslo</t>
  </si>
  <si>
    <t>vyhřívací podušky a monitory dechu typu „baby sens“</t>
  </si>
  <si>
    <t>rehabilitační lehátko s nastavitelnou výškou</t>
  </si>
  <si>
    <t>přístroje pro pasivní i aktivní procvičování hybnosti</t>
  </si>
  <si>
    <t>vybavení pro senzomotorickou stimulaci</t>
  </si>
  <si>
    <t>přístroje/vybavení logopedické</t>
  </si>
  <si>
    <t>přístroje pro aplikaci elektroterapie, magnetoterapie nebo ultrazvukové terapie</t>
  </si>
  <si>
    <t>EKG přístroj</t>
  </si>
  <si>
    <t>infuzní pumpa</t>
  </si>
  <si>
    <t>zdroj medicinálního kyslíku (kyslíkový koncentrátor)</t>
  </si>
  <si>
    <t>zvedací zařízení pro imobilní pacienty</t>
  </si>
  <si>
    <t>transportní lehátko nebo stretcher pro převoz pacientů</t>
  </si>
  <si>
    <t>glukometr</t>
  </si>
  <si>
    <t>tonometr</t>
  </si>
  <si>
    <t>fonendoskop</t>
  </si>
  <si>
    <t>teploměr lékařský</t>
  </si>
  <si>
    <t>infuzní stojan</t>
  </si>
  <si>
    <t>mobilní vyšetřovací svítidlo</t>
  </si>
  <si>
    <t>výškoměr</t>
  </si>
  <si>
    <t>osobní váha</t>
  </si>
  <si>
    <t>1/3lůž</t>
  </si>
  <si>
    <t>3/odd.</t>
  </si>
  <si>
    <t>počet dnů v roce P</t>
  </si>
  <si>
    <t>pro rok 2026</t>
  </si>
  <si>
    <t>počet bodů</t>
  </si>
  <si>
    <t>Zdravotně sociální pracovník</t>
  </si>
  <si>
    <t>týdenní úvazek</t>
  </si>
  <si>
    <t>Kategorie 0 a 1</t>
  </si>
  <si>
    <t>Kategorie 2</t>
  </si>
  <si>
    <t>Kategorie 3</t>
  </si>
  <si>
    <t>Kategorie 4</t>
  </si>
  <si>
    <t>Kategorie 5</t>
  </si>
  <si>
    <t>nutriční terapeut</t>
  </si>
  <si>
    <t>čas výkonu N * % využití přístroje</t>
  </si>
  <si>
    <t>pacient</t>
  </si>
  <si>
    <t>léky</t>
  </si>
  <si>
    <t>strava</t>
  </si>
  <si>
    <t>léky bez stravy</t>
  </si>
  <si>
    <t>materiál</t>
  </si>
  <si>
    <t>vybavení</t>
  </si>
  <si>
    <t>materiál bez vybavení</t>
  </si>
  <si>
    <t>tracheostomie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</si>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</sst>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" fillId="0" borderId="0"/>
  </cellStyleXfs>
  <cellXfs count="31">
    <xf numFmtId="0" fontId="0" fillId="0" borderId="0" xfId="0"/>
    <xf numFmtId="9" fontId="0" fillId="0" borderId="0" xfId="1" applyFont="1"/>
    <xf numFmtId="49" fontId="0" fillId="0" borderId="0" xfId="0" applyNumberFormat="1"/>
    <xf numFmtId="0" fontId="0" fillId="0" borderId="0" xfId="0" applyFill="1"/>
    <xf numFmtId="2" fontId="0" fillId="0" borderId="0" xfId="0" applyNumberFormat="1"/>
    <xf numFmtId="0" fontId="4" fillId="0" borderId="0" xfId="0" applyFont="1"/>
    <xf numFmtId="2" fontId="4" fillId="0" borderId="0" xfId="0" applyNumberFormat="1" applyFont="1"/>
    <xf numFmtId="0" fontId="3" fillId="0" borderId="0" xfId="0" applyFont="1"/>
    <xf numFmtId="2" fontId="3" fillId="0" borderId="0" xfId="0" applyNumberFormat="1" applyFont="1"/>
    <xf numFmtId="0" fontId="0" fillId="0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ont="1" applyFill="1"/>
    <xf numFmtId="2" fontId="0" fillId="2" borderId="0" xfId="0" applyNumberFormat="1" applyFill="1"/>
    <xf numFmtId="0" fontId="0" fillId="2" borderId="0" xfId="0" applyFill="1"/>
    <xf numFmtId="0" fontId="0" fillId="3" borderId="1" xfId="0" applyFill="1" applyBorder="1"/>
    <xf numFmtId="2" fontId="0" fillId="3" borderId="1" xfId="0" applyNumberFormat="1" applyFill="1" applyBorder="1"/>
    <xf numFmtId="0" fontId="0" fillId="0" borderId="1" xfId="0" applyBorder="1"/>
    <xf numFmtId="2" fontId="0" fillId="0" borderId="1" xfId="0" applyNumberFormat="1" applyBorder="1"/>
    <xf numFmtId="2" fontId="0" fillId="4" borderId="1" xfId="0" applyNumberFormat="1" applyFill="1" applyBorder="1"/>
    <xf numFmtId="2" fontId="3" fillId="3" borderId="2" xfId="0" applyNumberFormat="1" applyFont="1" applyFill="1" applyBorder="1"/>
    <xf numFmtId="2" fontId="3" fillId="3" borderId="1" xfId="0" applyNumberFormat="1" applyFont="1" applyFill="1" applyBorder="1"/>
    <xf numFmtId="3" fontId="0" fillId="0" borderId="0" xfId="0" applyNumberFormat="1" applyFill="1"/>
    <xf numFmtId="0" fontId="5" fillId="0" borderId="0" xfId="0" applyFont="1" applyFill="1" applyAlignment="1">
      <alignment wrapText="1"/>
    </xf>
    <xf numFmtId="0" fontId="6" fillId="0" borderId="0" xfId="0" applyFont="1" applyFill="1"/>
    <xf numFmtId="2" fontId="6" fillId="0" borderId="0" xfId="0" applyNumberFormat="1" applyFont="1" applyFill="1"/>
    <xf numFmtId="164" fontId="6" fillId="0" borderId="0" xfId="0" applyNumberFormat="1" applyFont="1" applyFill="1"/>
    <xf numFmtId="1" fontId="6" fillId="0" borderId="0" xfId="0" applyNumberFormat="1" applyFont="1" applyFill="1"/>
    <xf numFmtId="3" fontId="6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7" fillId="0" borderId="0" xfId="0" applyFont="1" applyFill="1"/>
  </cellXfs>
  <cellStyles count="4">
    <cellStyle name="Excel Built-in Normal" xfId="2" xr:uid="{07CC6231-035D-4730-BFF4-A792C673037A}"/>
    <cellStyle name="Normální" xfId="0" builtinId="0"/>
    <cellStyle name="Normální 4" xfId="3" xr:uid="{2D473309-14FB-430C-9D63-AB45E0B1715A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Žílová Pavlína, Mgr." id="{EC4D7577-E4BC-4681-8D1C-6E9DB2087C52}" userId="S::MZUzilovap@mznet.cz::66333940-9df6-413a-993d-968ed1f6640c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4" dT="2025-08-28T07:14:43.46" personId="{EC4D7577-E4BC-4681-8D1C-6E9DB2087C52}" id="{F264EF70-17B6-41F8-AAB5-5370C2058765}">
    <text>Sníženo oproti vyhlášce č. 99/2012 z 1 na 0,8 úvazku z důvodu nižšího personálního standardu pro dlouhodobou lůžkovou péči v CKP oproti CKP jako celku</text>
  </threadedComment>
  <threadedComment ref="C18" dT="2025-08-28T07:15:14.20" personId="{EC4D7577-E4BC-4681-8D1C-6E9DB2087C52}" id="{BE583C89-2984-474D-B8F3-3AA6C27B7C47}">
    <text>Sníženo oproti vyhlášce č. 99/2012 z 7 na 6 úvazků z důvodu nižšího personálního standardu pro dlouhodobou lůžkovou péči v CKP oproti CKP jako celku</text>
  </threadedComment>
  <threadedComment ref="B30" dT="2025-05-27T06:52:17.59" personId="{EC4D7577-E4BC-4681-8D1C-6E9DB2087C52}" id="{A8696A36-B870-4B5D-BA70-2AD140E36837}">
    <text>Ve smlouvě mezi zdravotní pojišťovnou a poskytovatelem lze, na základě ekonomicky zdůvodněných nezbytných nákladů, dohodnout vyšší hodnotu režie přiřazené k OD, než je ve vyhlášce uvedena, nejvýše však do výše 400 %.
Ve smlouvě mezi zdravotní pojišťovnou a poskytovatelem lze, na základě ekonomicky zdůvodněných nezbytných nákladů, dohodnout nižší hodnotu režie přiřazené k OD, než je ve vyhlášce uvedena, nejvýše však do výše 30 %.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1" dT="2025-05-22T08:38:04.68" personId="{EC4D7577-E4BC-4681-8D1C-6E9DB2087C52}" id="{42DF53DF-0423-4716-9127-6BF8313D3783}">
    <text xml:space="preserve">4 hodiny denně při ceně přístroje -K- do 1 milionu Kč
6 hodiny denně při ceně přístroje -K- od 1 do 5 milionů Kč
12 hodin denně při ceně přístroje -K- 5 milionů Kč a více
</text>
  </threadedComment>
  <threadedComment ref="A12" dT="2025-08-28T08:50:00.64" personId="{EC4D7577-E4BC-4681-8D1C-6E9DB2087C52}" id="{E7F90EE9-9FD2-4C0E-B69E-609474724208}">
    <text xml:space="preserve">např. Baffin Automatic – elektrické polohovací židle 3v1, VakuForm vakuové polohovatelné vaky, polohovací pomůcky od firmy Vitapur, Motomed do lůžka LAYSON.kidz.la MADISSON, REDCORD
</text>
  </threadedComment>
  <threadedComment ref="A13" dT="2025-08-28T08:50:22.54" personId="{EC4D7577-E4BC-4681-8D1C-6E9DB2087C52}" id="{9A5E7933-2900-4EFE-93B6-6D6DF7DD4E27}">
    <text xml:space="preserve">např. Bosu, velké míče, owerball, pěnové míčky, labilní plochy, balanční podložky, senzomotorický kobereček a chodníček, závěsná houpačka, houpací prkno UTUKUTU, SM systém pomůcky, masážní ježci, válečky, pomůcky na procvičení jemné motoriky ruky, Snoezelen-MSE (Multisensory Environment) s komponenty jako jsou bublinkové válce, hvězdné nebe, projektory s olejovými nebo tematickými kotoučky, optická vlákna, aroma lampy, zrcadlové koule, speciální pohodlný měkký nábytek, vibrační pohovky, houpačky, vodní postele a další
</text>
  </threadedComment>
  <threadedComment ref="A14" dT="2025-08-28T08:51:06.81" personId="{EC4D7577-E4BC-4681-8D1C-6E9DB2087C52}" id="{0471C74F-4006-4854-9388-39FBD19F6C8F}">
    <text xml:space="preserve">kousadla, pozicionéry a pomůcky pro stimulací orofaciální oblasti, PC vybavení na alternativní komunikaci a další
</text>
  </threadedComment>
  <threadedComment ref="A15" dT="2025-08-28T08:51:42.51" personId="{EC4D7577-E4BC-4681-8D1C-6E9DB2087C52}" id="{E91D17B5-849B-4AB1-B85C-3D700C0F470A}">
    <text>např. Rebox – reboxová terapie (kód pro pojišťovnu 21113), Vibramoov (nehradí pojišťovna), PodoCam (kód pro pojišťovnu 21017), ultrazvuk – ZIMMER ELEKTROMEDIZIN – SONO 5, Magnet – RENAISSANCE – LETTINO nebo Magnet MADISSON, Kombinovaný přístroj PhysioGo 300A MADISSON, BIOLAMPA, laser</text>
  </threadedComment>
  <threadedComment ref="A16" dT="2025-08-28T07:05:07.88" personId="{EC4D7577-E4BC-4681-8D1C-6E9DB2087C52}" id="{06428554-B0F7-4210-9257-F2F5FCC79590}">
    <text>Zahrnuto v režie - zde s nulovou hodnotou</text>
  </threadedComment>
  <threadedComment ref="O16" dT="2025-08-28T07:04:01.01" personId="{EC4D7577-E4BC-4681-8D1C-6E9DB2087C52}" id="{8A510E4C-F853-4DA8-838B-1246D63C8190}">
    <text>Zahrnuto v režii</text>
  </threadedComment>
  <threadedComment ref="A25" dT="2025-08-28T07:05:38.83" personId="{EC4D7577-E4BC-4681-8D1C-6E9DB2087C52}" id="{DD0F5C31-FCE7-4D3A-86A7-627036A829F8}">
    <text>Zahrnuto v režii, zde s nulovou hodnotou.</text>
  </threadedComment>
  <threadedComment ref="O25" dT="2025-08-28T07:04:01.01" personId="{EC4D7577-E4BC-4681-8D1C-6E9DB2087C52}" id="{2B219FC1-BB3E-4A54-9E38-CF8D3680EE0F}">
    <text>Zahrnuto v režii</text>
  </threadedComment>
  <threadedComment ref="A26" dT="2025-08-28T07:05:46.80" personId="{EC4D7577-E4BC-4681-8D1C-6E9DB2087C52}" id="{DDC01066-3039-4C63-BF15-E06C9EF8141E}">
    <text>Zahrnuto v režii, zde s nulovou hodnotou.</text>
  </threadedComment>
  <threadedComment ref="O26" dT="2025-08-28T07:04:01.01" personId="{EC4D7577-E4BC-4681-8D1C-6E9DB2087C52}" id="{0F76F667-A800-469B-B6DD-D85AE46F7C37}">
    <text>Zahrnuto v režii</text>
  </threadedComment>
  <threadedComment ref="A27" dT="2025-08-28T07:05:52.04" personId="{EC4D7577-E4BC-4681-8D1C-6E9DB2087C52}" id="{A4DA4242-51A4-4F99-B50F-39D6BD10C195}">
    <text>Zahrnuto v režii, zde s nulovou hodnotou.</text>
  </threadedComment>
  <threadedComment ref="O27" dT="2025-08-28T07:04:01.01" personId="{EC4D7577-E4BC-4681-8D1C-6E9DB2087C52}" id="{2A4F3C13-4D11-4BC9-BA34-EA6717E679ED}">
    <text>Zahrnuto v režii</text>
  </threadedComment>
  <threadedComment ref="A28" dT="2025-08-28T07:06:02.04" personId="{EC4D7577-E4BC-4681-8D1C-6E9DB2087C52}" id="{B0B151F8-948D-440B-8E17-25BEF7B85EED}">
    <text>Zahrnuto v režii, zde s nulovou hodnotou.</text>
  </threadedComment>
  <threadedComment ref="O28" dT="2025-08-28T07:04:01.01" personId="{EC4D7577-E4BC-4681-8D1C-6E9DB2087C52}" id="{BA574FD9-6FD1-44F3-ABD5-A426E1E64AF8}">
    <text>Zahrnuto v režii</text>
  </threadedComment>
  <threadedComment ref="A29" dT="2025-08-28T07:06:22.30" personId="{EC4D7577-E4BC-4681-8D1C-6E9DB2087C52}" id="{6DD14C68-E978-4802-A3ED-FB814E3EBD28}">
    <text>Zahrnuto v režii, zde s nulovou hodnotou.</text>
  </threadedComment>
  <threadedComment ref="O29" dT="2025-08-28T07:04:01.01" personId="{EC4D7577-E4BC-4681-8D1C-6E9DB2087C52}" id="{EC78DC0D-ADF0-4EEC-AC9B-5A7A95CF8C7E}">
    <text>Zahrnuto v režii</text>
  </threadedComment>
  <threadedComment ref="A30" dT="2025-08-28T07:06:28.01" personId="{EC4D7577-E4BC-4681-8D1C-6E9DB2087C52}" id="{85F68373-86D4-4461-9BF2-E9EAE4501988}">
    <text>Zahrnuto v režii, zde s nulovou hodnotou.</text>
  </threadedComment>
  <threadedComment ref="O30" dT="2025-08-28T07:04:01.01" personId="{EC4D7577-E4BC-4681-8D1C-6E9DB2087C52}" id="{807C3BAA-B7A6-46B8-9B14-9148677F3453}">
    <text>Zahrnuto v režii</text>
  </threadedComment>
  <threadedComment ref="A31" dT="2025-08-28T07:06:33.24" personId="{EC4D7577-E4BC-4681-8D1C-6E9DB2087C52}" id="{B47BA17B-4B97-4D74-92FA-0DC11B15C76F}">
    <text>Zahrnuto v režii, zde s nulovou hodnotou.</text>
  </threadedComment>
  <threadedComment ref="O31" dT="2025-08-28T07:04:01.01" personId="{EC4D7577-E4BC-4681-8D1C-6E9DB2087C52}" id="{1994BC21-5989-4B91-8A79-38B34B8A03AE}">
    <text>Zahrnuto v režii</text>
  </threadedComment>
  <threadedComment ref="A32" dT="2025-08-28T07:06:38.63" personId="{EC4D7577-E4BC-4681-8D1C-6E9DB2087C52}" id="{3FC04359-A520-4CA1-AF47-82E6DD2B6B61}">
    <text>Zahrnuto v režii, zde s nulovou hodnotou.</text>
  </threadedComment>
  <threadedComment ref="O32" dT="2025-08-28T07:04:01.01" personId="{EC4D7577-E4BC-4681-8D1C-6E9DB2087C52}" id="{64A5196B-0441-466F-AD08-8D8BA818D9FB}">
    <text>Zahrnuto v režii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1BB3-CF6E-4EAB-91EA-A7CE3E4B84BB}">
  <dimension ref="A1:G36"/>
  <sheetViews>
    <sheetView tabSelected="1" workbookViewId="0"/>
  </sheetViews>
  <sheetFormatPr defaultRowHeight="14.5" x14ac:dyDescent="0.35"/>
  <cols>
    <col min="1" max="1" width="33" customWidth="1"/>
    <col min="2" max="2" width="14.1796875" customWidth="1"/>
    <col min="3" max="3" width="33.453125" customWidth="1"/>
    <col min="4" max="4" width="13.26953125" customWidth="1"/>
    <col min="5" max="5" width="26.81640625" customWidth="1"/>
    <col min="6" max="6" width="21.26953125" customWidth="1"/>
    <col min="7" max="7" width="21.81640625" bestFit="1" customWidth="1"/>
  </cols>
  <sheetData>
    <row r="1" spans="1:7" x14ac:dyDescent="0.35">
      <c r="A1" t="s">
        <v>0</v>
      </c>
      <c r="B1" t="s">
        <v>76</v>
      </c>
    </row>
    <row r="3" spans="1:7" x14ac:dyDescent="0.35">
      <c r="A3" t="s">
        <v>1</v>
      </c>
      <c r="B3" s="2" t="s">
        <v>77</v>
      </c>
    </row>
    <row r="5" spans="1:7" x14ac:dyDescent="0.35">
      <c r="A5" t="s">
        <v>2</v>
      </c>
      <c r="B5">
        <v>301</v>
      </c>
    </row>
    <row r="7" spans="1:7" x14ac:dyDescent="0.35">
      <c r="A7" t="s">
        <v>3</v>
      </c>
      <c r="B7">
        <v>15</v>
      </c>
    </row>
    <row r="8" spans="1:7" x14ac:dyDescent="0.35">
      <c r="A8" t="s">
        <v>4</v>
      </c>
      <c r="B8" s="1">
        <v>0.9</v>
      </c>
      <c r="C8" s="1"/>
    </row>
    <row r="9" spans="1:7" x14ac:dyDescent="0.35">
      <c r="A9" t="s">
        <v>118</v>
      </c>
      <c r="B9">
        <v>40</v>
      </c>
    </row>
    <row r="10" spans="1:7" x14ac:dyDescent="0.35">
      <c r="A10" s="7" t="s">
        <v>12</v>
      </c>
      <c r="B10" s="7">
        <f>SUM(G12:G20)</f>
        <v>1736.8999999999999</v>
      </c>
    </row>
    <row r="11" spans="1:7" ht="72.5" x14ac:dyDescent="0.35">
      <c r="A11" s="3" t="s">
        <v>5</v>
      </c>
      <c r="B11" s="3" t="s">
        <v>6</v>
      </c>
      <c r="C11" s="3" t="s">
        <v>83</v>
      </c>
      <c r="D11" s="9" t="s">
        <v>84</v>
      </c>
      <c r="E11" s="3" t="s">
        <v>7</v>
      </c>
      <c r="F11" s="3" t="s">
        <v>8</v>
      </c>
      <c r="G11" s="3" t="s">
        <v>116</v>
      </c>
    </row>
    <row r="12" spans="1:7" x14ac:dyDescent="0.35">
      <c r="A12" s="3" t="s">
        <v>78</v>
      </c>
      <c r="B12" s="3" t="s">
        <v>9</v>
      </c>
      <c r="C12" s="3">
        <v>0.2</v>
      </c>
      <c r="D12" s="3">
        <f>C12*$B$9*60/($B$7*$B$8)/7</f>
        <v>5.07936507936508</v>
      </c>
      <c r="E12" s="3">
        <f>VLOOKUP(B12,'nositele číselník'!$A$2:$F$15,3,FALSE)</f>
        <v>3.5</v>
      </c>
      <c r="F12" s="3"/>
      <c r="G12" s="3">
        <f>ROUND(VLOOKUP(B12,'nositele číselník'!$A$2:$G$15,7,FALSE)*D12,2)</f>
        <v>71.02</v>
      </c>
    </row>
    <row r="13" spans="1:7" x14ac:dyDescent="0.35">
      <c r="A13" s="3" t="s">
        <v>79</v>
      </c>
      <c r="B13" s="3" t="s">
        <v>10</v>
      </c>
      <c r="C13" s="3">
        <v>0.3</v>
      </c>
      <c r="D13" s="3">
        <f t="shared" ref="D13:D20" si="0">C13*$B$9*60/($B$7*$B$8)/7</f>
        <v>7.6190476190476195</v>
      </c>
      <c r="E13" s="3">
        <f>VLOOKUP(B13,'nositele číselník'!$A$2:$F$15,3,FALSE)</f>
        <v>1.8</v>
      </c>
      <c r="F13" s="3"/>
      <c r="G13" s="3">
        <f>ROUND(VLOOKUP(B13,'nositele číselník'!$A$2:$G$15,7,FALSE)*D13,2)</f>
        <v>54.78</v>
      </c>
    </row>
    <row r="14" spans="1:7" x14ac:dyDescent="0.35">
      <c r="A14" s="3" t="s">
        <v>15</v>
      </c>
      <c r="B14" s="3" t="s">
        <v>13</v>
      </c>
      <c r="C14" s="3">
        <v>0.8</v>
      </c>
      <c r="D14" s="3">
        <f t="shared" si="0"/>
        <v>20.31746031746032</v>
      </c>
      <c r="E14" s="3">
        <f>VLOOKUP(B14,'nositele číselník'!$A$2:$F$15,3,FALSE)</f>
        <v>2.5</v>
      </c>
      <c r="F14" s="3"/>
      <c r="G14" s="3">
        <f>ROUND(VLOOKUP(B14,'nositele číselník'!$A$2:$G$15,7,FALSE)*D14,2)</f>
        <v>202.9</v>
      </c>
    </row>
    <row r="15" spans="1:7" x14ac:dyDescent="0.35">
      <c r="A15" s="3" t="s">
        <v>16</v>
      </c>
      <c r="B15" s="3" t="s">
        <v>14</v>
      </c>
      <c r="C15" s="3">
        <v>0.2</v>
      </c>
      <c r="D15" s="3">
        <f t="shared" si="0"/>
        <v>5.07936507936508</v>
      </c>
      <c r="E15" s="3">
        <f>VLOOKUP(B15,'nositele číselník'!$A$2:$F$15,3,FALSE)</f>
        <v>3.5</v>
      </c>
      <c r="F15" s="3"/>
      <c r="G15" s="3">
        <f>ROUND(VLOOKUP(B15,'nositele číselník'!$A$2:$G$15,7,FALSE)*D15,2)</f>
        <v>71.02</v>
      </c>
    </row>
    <row r="16" spans="1:7" x14ac:dyDescent="0.35">
      <c r="A16" s="3" t="s">
        <v>124</v>
      </c>
      <c r="B16" s="3" t="s">
        <v>14</v>
      </c>
      <c r="C16" s="3">
        <v>0.1</v>
      </c>
      <c r="D16" s="3">
        <f t="shared" si="0"/>
        <v>2.53968253968254</v>
      </c>
      <c r="E16" s="3">
        <f>VLOOKUP(B16,'nositele číselník'!$A$2:$F$15,3,FALSE)</f>
        <v>3.5</v>
      </c>
      <c r="F16" s="3"/>
      <c r="G16" s="3">
        <f>ROUND(VLOOKUP(B16,'nositele číselník'!$A$2:$G$15,7,FALSE)*D16,2)</f>
        <v>35.51</v>
      </c>
    </row>
    <row r="17" spans="1:7" x14ac:dyDescent="0.35">
      <c r="A17" s="3" t="s">
        <v>19</v>
      </c>
      <c r="B17" s="3" t="s">
        <v>51</v>
      </c>
      <c r="C17" s="3">
        <v>2</v>
      </c>
      <c r="D17" s="3">
        <f t="shared" si="0"/>
        <v>50.793650793650791</v>
      </c>
      <c r="E17" s="3">
        <f>VLOOKUP(B17,'nositele číselník'!$A$2:$F$15,3,FALSE)</f>
        <v>2.25</v>
      </c>
      <c r="F17" s="3" t="s">
        <v>80</v>
      </c>
      <c r="G17" s="3">
        <f>ROUND(VLOOKUP(B17,'nositele číselník'!$A$2:$G$15,7,FALSE)*D17,2)</f>
        <v>271.94</v>
      </c>
    </row>
    <row r="18" spans="1:7" x14ac:dyDescent="0.35">
      <c r="A18" s="3" t="s">
        <v>19</v>
      </c>
      <c r="B18" s="3" t="s">
        <v>17</v>
      </c>
      <c r="C18" s="3">
        <v>6</v>
      </c>
      <c r="D18" s="3">
        <f t="shared" si="0"/>
        <v>152.38095238095238</v>
      </c>
      <c r="E18" s="3">
        <f>VLOOKUP(B18,'nositele číselník'!$A$2:$F$15,3,FALSE)</f>
        <v>1.8</v>
      </c>
      <c r="F18" s="3" t="s">
        <v>81</v>
      </c>
      <c r="G18" s="3">
        <f>ROUND(VLOOKUP(B18,'nositele číselník'!$A$2:$G$15,7,FALSE)*D18,2)</f>
        <v>652.66</v>
      </c>
    </row>
    <row r="19" spans="1:7" x14ac:dyDescent="0.35">
      <c r="A19" s="3" t="s">
        <v>20</v>
      </c>
      <c r="B19" s="3" t="s">
        <v>18</v>
      </c>
      <c r="C19" s="3">
        <v>5</v>
      </c>
      <c r="D19" s="3">
        <f t="shared" si="0"/>
        <v>126.98412698412699</v>
      </c>
      <c r="E19" s="3">
        <f>VLOOKUP(B19,'nositele číselník'!$A$2:$F$15,3,FALSE)</f>
        <v>1.08</v>
      </c>
      <c r="F19" s="10" t="s">
        <v>82</v>
      </c>
      <c r="G19" s="3">
        <f>ROUND(VLOOKUP(B19,'nositele číselník'!$A$2:$G$15,7,FALSE)*D19,2)</f>
        <v>326.33999999999997</v>
      </c>
    </row>
    <row r="20" spans="1:7" x14ac:dyDescent="0.35">
      <c r="A20" s="3" t="s">
        <v>117</v>
      </c>
      <c r="B20" s="3" t="s">
        <v>40</v>
      </c>
      <c r="C20" s="3">
        <v>0.5</v>
      </c>
      <c r="D20" s="3">
        <f t="shared" si="0"/>
        <v>12.698412698412698</v>
      </c>
      <c r="E20" s="3">
        <f>VLOOKUP(B20,'nositele číselník'!$A$2:$F$15,3,FALSE)</f>
        <v>1</v>
      </c>
      <c r="F20" s="3"/>
      <c r="G20" s="3">
        <f>ROUND(VLOOKUP(B20,'nositele číselník'!$A$2:$G$15,7,FALSE)*D20,2)</f>
        <v>50.73</v>
      </c>
    </row>
    <row r="21" spans="1:7" x14ac:dyDescent="0.35">
      <c r="A21" s="3"/>
      <c r="B21" s="3"/>
      <c r="C21" s="3"/>
      <c r="D21" s="3"/>
      <c r="E21" s="3"/>
      <c r="F21" s="3"/>
      <c r="G21" s="3"/>
    </row>
    <row r="22" spans="1:7" x14ac:dyDescent="0.35">
      <c r="A22" s="7" t="s">
        <v>65</v>
      </c>
      <c r="B22" s="8">
        <f>'material a leky'!C28</f>
        <v>427.16680000000002</v>
      </c>
    </row>
    <row r="23" spans="1:7" x14ac:dyDescent="0.35">
      <c r="A23" s="7"/>
      <c r="B23" s="7"/>
    </row>
    <row r="24" spans="1:7" x14ac:dyDescent="0.35">
      <c r="A24" s="7" t="s">
        <v>21</v>
      </c>
      <c r="B24" s="8">
        <f>'material a leky'!D28</f>
        <v>242.20934615384616</v>
      </c>
    </row>
    <row r="25" spans="1:7" x14ac:dyDescent="0.35">
      <c r="A25" s="7"/>
      <c r="B25" s="7"/>
    </row>
    <row r="26" spans="1:7" x14ac:dyDescent="0.35">
      <c r="A26" s="7" t="s">
        <v>22</v>
      </c>
      <c r="B26" s="8">
        <f>'material a leky'!J28</f>
        <v>525.14684615384624</v>
      </c>
    </row>
    <row r="27" spans="1:7" x14ac:dyDescent="0.35">
      <c r="A27" s="7"/>
      <c r="B27" s="7"/>
    </row>
    <row r="28" spans="1:7" x14ac:dyDescent="0.35">
      <c r="A28" s="7" t="s">
        <v>23</v>
      </c>
      <c r="B28" s="7">
        <f>SUM(přístroje!O2:O1048576)</f>
        <v>170.35999999999999</v>
      </c>
    </row>
    <row r="29" spans="1:7" x14ac:dyDescent="0.35">
      <c r="A29" s="7"/>
      <c r="B29" s="7"/>
    </row>
    <row r="30" spans="1:7" x14ac:dyDescent="0.35">
      <c r="A30" s="7" t="s">
        <v>26</v>
      </c>
      <c r="B30" s="7">
        <v>275.64999999999998</v>
      </c>
      <c r="C30" t="s">
        <v>115</v>
      </c>
    </row>
    <row r="31" spans="1:7" x14ac:dyDescent="0.35">
      <c r="A31" s="7"/>
      <c r="B31" s="7"/>
    </row>
    <row r="32" spans="1:7" x14ac:dyDescent="0.35">
      <c r="A32" s="5" t="s">
        <v>66</v>
      </c>
      <c r="B32" s="6">
        <f>ROUND(B10+B22+B24+B26+B28+B30,0)</f>
        <v>3377</v>
      </c>
      <c r="C32" t="s">
        <v>119</v>
      </c>
    </row>
    <row r="33" spans="2:3" x14ac:dyDescent="0.35">
      <c r="B33" s="4">
        <f>B32+75</f>
        <v>3452</v>
      </c>
      <c r="C33" t="s">
        <v>120</v>
      </c>
    </row>
    <row r="34" spans="2:3" x14ac:dyDescent="0.35">
      <c r="B34" s="12">
        <f>B32+150</f>
        <v>3527</v>
      </c>
      <c r="C34" s="13" t="s">
        <v>121</v>
      </c>
    </row>
    <row r="35" spans="2:3" x14ac:dyDescent="0.35">
      <c r="B35" s="12">
        <f>B32+225</f>
        <v>3602</v>
      </c>
      <c r="C35" s="13" t="s">
        <v>122</v>
      </c>
    </row>
    <row r="36" spans="2:3" x14ac:dyDescent="0.35">
      <c r="B36" s="4">
        <f>B32+300</f>
        <v>3677</v>
      </c>
      <c r="C36" t="s">
        <v>123</v>
      </c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8C977-8895-4C9A-A9CE-D1245A1681EB}">
  <dimension ref="A1:L28"/>
  <sheetViews>
    <sheetView workbookViewId="0"/>
  </sheetViews>
  <sheetFormatPr defaultRowHeight="14.5" x14ac:dyDescent="0.35"/>
  <cols>
    <col min="2" max="3" width="8.7265625" style="4"/>
    <col min="4" max="4" width="13.6328125" customWidth="1"/>
    <col min="10" max="10" width="26.6328125" customWidth="1"/>
  </cols>
  <sheetData>
    <row r="1" spans="1:12" x14ac:dyDescent="0.35">
      <c r="A1" s="14" t="s">
        <v>126</v>
      </c>
      <c r="B1" s="15" t="s">
        <v>127</v>
      </c>
      <c r="C1" s="15" t="s">
        <v>128</v>
      </c>
      <c r="D1" s="14" t="s">
        <v>129</v>
      </c>
      <c r="F1" s="14" t="s">
        <v>126</v>
      </c>
      <c r="G1" s="14" t="s">
        <v>130</v>
      </c>
      <c r="H1" s="14" t="s">
        <v>131</v>
      </c>
      <c r="I1" s="14" t="s">
        <v>131</v>
      </c>
      <c r="J1" s="14" t="s">
        <v>132</v>
      </c>
    </row>
    <row r="2" spans="1:12" x14ac:dyDescent="0.35">
      <c r="A2" s="16">
        <v>1</v>
      </c>
      <c r="B2" s="17">
        <v>427.45000000000005</v>
      </c>
      <c r="C2" s="18">
        <v>116.6</v>
      </c>
      <c r="D2" s="17">
        <f>B2-C2</f>
        <v>310.85000000000002</v>
      </c>
      <c r="E2" s="4"/>
      <c r="F2" s="16">
        <v>1</v>
      </c>
      <c r="G2" s="17">
        <v>303.02999999999997</v>
      </c>
      <c r="H2" s="17"/>
      <c r="I2" s="17"/>
      <c r="J2" s="17">
        <f>G2-C2</f>
        <v>186.42999999999998</v>
      </c>
    </row>
    <row r="3" spans="1:12" x14ac:dyDescent="0.35">
      <c r="A3" s="16">
        <v>2</v>
      </c>
      <c r="B3" s="17">
        <v>716.35</v>
      </c>
      <c r="C3" s="18">
        <v>553</v>
      </c>
      <c r="D3" s="17">
        <f t="shared" ref="D3:D27" si="0">B3-C3</f>
        <v>163.35000000000002</v>
      </c>
      <c r="E3" s="4"/>
      <c r="F3" s="16">
        <v>2</v>
      </c>
      <c r="G3" s="17">
        <v>607.30000000000007</v>
      </c>
      <c r="H3" s="17"/>
      <c r="I3" s="17"/>
      <c r="J3" s="17">
        <f>G3-C3</f>
        <v>54.300000000000068</v>
      </c>
    </row>
    <row r="4" spans="1:12" x14ac:dyDescent="0.35">
      <c r="A4" s="16">
        <v>3</v>
      </c>
      <c r="B4" s="17">
        <v>55.6</v>
      </c>
      <c r="C4" s="17"/>
      <c r="D4" s="17">
        <f t="shared" si="0"/>
        <v>55.6</v>
      </c>
      <c r="F4" s="16">
        <v>3</v>
      </c>
      <c r="G4" s="17">
        <v>84.58</v>
      </c>
      <c r="H4" s="17"/>
      <c r="I4" s="17"/>
      <c r="J4" s="17">
        <f t="shared" ref="J4:J27" si="1">G4-H4-I4</f>
        <v>84.58</v>
      </c>
    </row>
    <row r="5" spans="1:12" x14ac:dyDescent="0.35">
      <c r="A5" s="16">
        <v>4</v>
      </c>
      <c r="B5" s="17">
        <v>756.44</v>
      </c>
      <c r="C5" s="18">
        <v>180.15</v>
      </c>
      <c r="D5" s="17">
        <f t="shared" si="0"/>
        <v>576.29000000000008</v>
      </c>
      <c r="F5" s="16">
        <v>4</v>
      </c>
      <c r="G5" s="17">
        <v>441.46000000000004</v>
      </c>
      <c r="H5" s="17"/>
      <c r="I5" s="17"/>
      <c r="J5" s="17">
        <f t="shared" si="1"/>
        <v>441.46000000000004</v>
      </c>
    </row>
    <row r="6" spans="1:12" x14ac:dyDescent="0.35">
      <c r="A6" s="16">
        <v>5</v>
      </c>
      <c r="B6" s="17">
        <v>639.04999999999995</v>
      </c>
      <c r="C6" s="18">
        <v>188.15</v>
      </c>
      <c r="D6" s="17">
        <f t="shared" si="0"/>
        <v>450.9</v>
      </c>
      <c r="F6" s="16">
        <v>5</v>
      </c>
      <c r="G6" s="17">
        <v>228.35999999999999</v>
      </c>
      <c r="H6" s="17"/>
      <c r="I6" s="17"/>
      <c r="J6" s="17">
        <f t="shared" si="1"/>
        <v>228.35999999999999</v>
      </c>
    </row>
    <row r="7" spans="1:12" x14ac:dyDescent="0.35">
      <c r="A7" s="16">
        <v>6</v>
      </c>
      <c r="B7" s="17">
        <v>1381</v>
      </c>
      <c r="C7" s="18">
        <v>539.6</v>
      </c>
      <c r="D7" s="17">
        <f t="shared" si="0"/>
        <v>841.4</v>
      </c>
      <c r="F7" s="16">
        <v>6</v>
      </c>
      <c r="G7" s="17">
        <v>529.61</v>
      </c>
      <c r="H7" s="17"/>
      <c r="I7" s="17"/>
      <c r="J7" s="17">
        <f t="shared" si="1"/>
        <v>529.61</v>
      </c>
    </row>
    <row r="8" spans="1:12" x14ac:dyDescent="0.35">
      <c r="A8" s="16">
        <v>7</v>
      </c>
      <c r="B8" s="17">
        <v>500</v>
      </c>
      <c r="C8" s="17"/>
      <c r="D8" s="17">
        <f t="shared" si="0"/>
        <v>500</v>
      </c>
      <c r="F8" s="16">
        <v>7</v>
      </c>
      <c r="G8" s="17">
        <v>400</v>
      </c>
      <c r="H8" s="17"/>
      <c r="I8" s="17"/>
      <c r="J8" s="17">
        <f t="shared" si="1"/>
        <v>400</v>
      </c>
    </row>
    <row r="9" spans="1:12" x14ac:dyDescent="0.35">
      <c r="A9" s="16">
        <v>8</v>
      </c>
      <c r="B9" s="17">
        <v>68.81</v>
      </c>
      <c r="C9" s="17"/>
      <c r="D9" s="17">
        <f t="shared" si="0"/>
        <v>68.81</v>
      </c>
      <c r="F9" s="16">
        <v>8</v>
      </c>
      <c r="G9" s="17">
        <v>348.84</v>
      </c>
      <c r="H9" s="17"/>
      <c r="I9" s="17"/>
      <c r="J9" s="17">
        <f t="shared" si="1"/>
        <v>348.84</v>
      </c>
      <c r="L9" t="s">
        <v>133</v>
      </c>
    </row>
    <row r="10" spans="1:12" x14ac:dyDescent="0.35">
      <c r="A10" s="16">
        <v>9</v>
      </c>
      <c r="B10" s="17">
        <v>81.990000000000009</v>
      </c>
      <c r="C10" s="17"/>
      <c r="D10" s="17">
        <f t="shared" si="0"/>
        <v>81.990000000000009</v>
      </c>
      <c r="F10" s="16">
        <v>9</v>
      </c>
      <c r="G10" s="17">
        <v>221.91999999999996</v>
      </c>
      <c r="H10" s="17"/>
      <c r="I10" s="17"/>
      <c r="J10" s="17">
        <f t="shared" si="1"/>
        <v>221.91999999999996</v>
      </c>
    </row>
    <row r="11" spans="1:12" x14ac:dyDescent="0.35">
      <c r="A11" s="16">
        <v>10</v>
      </c>
      <c r="B11" s="17">
        <v>32.69</v>
      </c>
      <c r="C11" s="17"/>
      <c r="D11" s="17">
        <f t="shared" si="0"/>
        <v>32.69</v>
      </c>
      <c r="F11" s="16">
        <v>10</v>
      </c>
      <c r="G11" s="17">
        <v>199.38999999999996</v>
      </c>
      <c r="H11" s="17"/>
      <c r="I11" s="17"/>
      <c r="J11" s="17">
        <f t="shared" si="1"/>
        <v>199.38999999999996</v>
      </c>
    </row>
    <row r="12" spans="1:12" x14ac:dyDescent="0.35">
      <c r="A12" s="16">
        <v>11</v>
      </c>
      <c r="B12" s="17">
        <v>86.12</v>
      </c>
      <c r="C12" s="17"/>
      <c r="D12" s="17">
        <f t="shared" si="0"/>
        <v>86.12</v>
      </c>
      <c r="F12" s="16">
        <v>11</v>
      </c>
      <c r="G12" s="17">
        <v>53.509</v>
      </c>
      <c r="H12" s="17"/>
      <c r="I12" s="17"/>
      <c r="J12" s="17">
        <f t="shared" si="1"/>
        <v>53.509</v>
      </c>
    </row>
    <row r="13" spans="1:12" x14ac:dyDescent="0.35">
      <c r="A13" s="16">
        <v>12</v>
      </c>
      <c r="B13" s="17">
        <v>103.89000000000001</v>
      </c>
      <c r="C13" s="17"/>
      <c r="D13" s="17">
        <f t="shared" si="0"/>
        <v>103.89000000000001</v>
      </c>
      <c r="F13" s="16">
        <v>12</v>
      </c>
      <c r="G13" s="17">
        <v>106.636</v>
      </c>
      <c r="H13" s="17"/>
      <c r="I13" s="17"/>
      <c r="J13" s="17">
        <f t="shared" si="1"/>
        <v>106.636</v>
      </c>
    </row>
    <row r="14" spans="1:12" x14ac:dyDescent="0.35">
      <c r="A14" s="16">
        <v>13</v>
      </c>
      <c r="B14" s="17">
        <v>786.94</v>
      </c>
      <c r="C14" s="17"/>
      <c r="D14" s="17">
        <f t="shared" si="0"/>
        <v>786.94</v>
      </c>
      <c r="F14" s="16">
        <v>13</v>
      </c>
      <c r="G14" s="17">
        <v>52.552999999999997</v>
      </c>
      <c r="H14" s="17"/>
      <c r="I14" s="17"/>
      <c r="J14" s="17">
        <f t="shared" si="1"/>
        <v>52.552999999999997</v>
      </c>
    </row>
    <row r="15" spans="1:12" x14ac:dyDescent="0.35">
      <c r="A15" s="16">
        <v>14</v>
      </c>
      <c r="B15" s="17">
        <v>537.60000000000014</v>
      </c>
      <c r="C15" s="18">
        <v>397.61</v>
      </c>
      <c r="D15" s="17">
        <f t="shared" si="0"/>
        <v>139.99000000000012</v>
      </c>
      <c r="F15" s="16">
        <v>14</v>
      </c>
      <c r="G15" s="17">
        <v>538.66</v>
      </c>
      <c r="H15" s="17"/>
      <c r="I15" s="17"/>
      <c r="J15" s="17">
        <f t="shared" si="1"/>
        <v>538.66</v>
      </c>
    </row>
    <row r="16" spans="1:12" x14ac:dyDescent="0.35">
      <c r="A16" s="16">
        <v>15</v>
      </c>
      <c r="B16" s="17">
        <v>258.64</v>
      </c>
      <c r="C16" s="17"/>
      <c r="D16" s="17">
        <f t="shared" si="0"/>
        <v>258.64</v>
      </c>
      <c r="F16" s="16">
        <v>15</v>
      </c>
      <c r="G16" s="17">
        <v>411.16</v>
      </c>
      <c r="H16" s="17"/>
      <c r="I16" s="17"/>
      <c r="J16" s="17">
        <f t="shared" si="1"/>
        <v>411.16</v>
      </c>
    </row>
    <row r="17" spans="1:12" x14ac:dyDescent="0.35">
      <c r="A17" s="16">
        <v>16</v>
      </c>
      <c r="B17" s="17">
        <v>414.90000000000003</v>
      </c>
      <c r="C17" s="18">
        <v>277.41000000000003</v>
      </c>
      <c r="D17" s="17">
        <f t="shared" si="0"/>
        <v>137.49</v>
      </c>
      <c r="F17" s="16">
        <v>16</v>
      </c>
      <c r="G17" s="17">
        <v>843.04999999999984</v>
      </c>
      <c r="H17" s="17"/>
      <c r="I17" s="17"/>
      <c r="J17" s="17">
        <f t="shared" si="1"/>
        <v>843.04999999999984</v>
      </c>
    </row>
    <row r="18" spans="1:12" x14ac:dyDescent="0.35">
      <c r="A18" s="16">
        <v>17</v>
      </c>
      <c r="B18" s="17">
        <v>1074.6300000000001</v>
      </c>
      <c r="C18" s="18">
        <v>840</v>
      </c>
      <c r="D18" s="17">
        <f t="shared" si="0"/>
        <v>234.63000000000011</v>
      </c>
      <c r="F18" s="16">
        <v>17</v>
      </c>
      <c r="G18" s="17">
        <v>1488.25</v>
      </c>
      <c r="H18" s="18">
        <v>180</v>
      </c>
      <c r="I18" s="18">
        <v>45</v>
      </c>
      <c r="J18" s="17">
        <f t="shared" si="1"/>
        <v>1263.25</v>
      </c>
    </row>
    <row r="19" spans="1:12" x14ac:dyDescent="0.35">
      <c r="A19" s="16">
        <v>18</v>
      </c>
      <c r="B19" s="17">
        <v>468.53999999999996</v>
      </c>
      <c r="C19" s="18">
        <v>350</v>
      </c>
      <c r="D19" s="17">
        <f t="shared" si="0"/>
        <v>118.53999999999996</v>
      </c>
      <c r="F19" s="16">
        <v>18</v>
      </c>
      <c r="G19" s="17">
        <v>2292.38</v>
      </c>
      <c r="H19" s="18">
        <v>180</v>
      </c>
      <c r="I19" s="18">
        <v>45</v>
      </c>
      <c r="J19" s="17">
        <f t="shared" si="1"/>
        <v>2067.38</v>
      </c>
      <c r="L19" t="s">
        <v>133</v>
      </c>
    </row>
    <row r="20" spans="1:12" x14ac:dyDescent="0.35">
      <c r="A20" s="16">
        <v>19</v>
      </c>
      <c r="B20" s="17">
        <v>999.85000000000014</v>
      </c>
      <c r="C20" s="18">
        <v>817.69</v>
      </c>
      <c r="D20" s="17">
        <f t="shared" si="0"/>
        <v>182.16000000000008</v>
      </c>
      <c r="F20" s="16">
        <v>19</v>
      </c>
      <c r="G20" s="17">
        <v>1653</v>
      </c>
      <c r="H20" s="18">
        <v>180</v>
      </c>
      <c r="I20" s="18">
        <v>45</v>
      </c>
      <c r="J20" s="17">
        <f t="shared" si="1"/>
        <v>1428</v>
      </c>
    </row>
    <row r="21" spans="1:12" x14ac:dyDescent="0.35">
      <c r="A21" s="16">
        <v>20</v>
      </c>
      <c r="B21" s="17">
        <v>65.8</v>
      </c>
      <c r="C21" s="17"/>
      <c r="D21" s="17">
        <f t="shared" si="0"/>
        <v>65.8</v>
      </c>
      <c r="F21" s="16">
        <v>20</v>
      </c>
      <c r="G21" s="17">
        <v>425.59</v>
      </c>
      <c r="H21" s="17"/>
      <c r="I21" s="17"/>
      <c r="J21" s="17">
        <f t="shared" si="1"/>
        <v>425.59</v>
      </c>
    </row>
    <row r="22" spans="1:12" x14ac:dyDescent="0.35">
      <c r="A22" s="16">
        <v>21</v>
      </c>
      <c r="B22" s="17">
        <v>119</v>
      </c>
      <c r="C22" s="17"/>
      <c r="D22" s="17">
        <f t="shared" si="0"/>
        <v>119</v>
      </c>
      <c r="F22" s="16">
        <v>21</v>
      </c>
      <c r="G22" s="17">
        <v>330.76000000000005</v>
      </c>
      <c r="H22" s="18">
        <v>180</v>
      </c>
      <c r="I22" s="18">
        <v>45</v>
      </c>
      <c r="J22" s="17">
        <f t="shared" si="1"/>
        <v>105.76000000000005</v>
      </c>
    </row>
    <row r="23" spans="1:12" x14ac:dyDescent="0.35">
      <c r="A23" s="16">
        <v>22</v>
      </c>
      <c r="B23" s="17">
        <v>562.15</v>
      </c>
      <c r="C23" s="18">
        <v>551</v>
      </c>
      <c r="D23" s="17">
        <f t="shared" si="0"/>
        <v>11.149999999999977</v>
      </c>
      <c r="F23" s="16">
        <v>22</v>
      </c>
      <c r="G23" s="17">
        <v>433.08</v>
      </c>
      <c r="H23" s="18"/>
      <c r="I23" s="18"/>
      <c r="J23" s="17">
        <f t="shared" si="1"/>
        <v>433.08</v>
      </c>
    </row>
    <row r="24" spans="1:12" x14ac:dyDescent="0.35">
      <c r="A24" s="16">
        <v>23</v>
      </c>
      <c r="B24" s="17">
        <v>531.71900000000005</v>
      </c>
      <c r="C24" s="18">
        <v>432</v>
      </c>
      <c r="D24" s="17">
        <f t="shared" si="0"/>
        <v>99.719000000000051</v>
      </c>
      <c r="F24" s="16">
        <v>23</v>
      </c>
      <c r="G24" s="17">
        <v>702.65999999999985</v>
      </c>
      <c r="H24" s="18"/>
      <c r="I24" s="18"/>
      <c r="J24" s="17">
        <f t="shared" si="1"/>
        <v>702.65999999999985</v>
      </c>
      <c r="L24" t="s">
        <v>133</v>
      </c>
    </row>
    <row r="25" spans="1:12" x14ac:dyDescent="0.35">
      <c r="A25" s="16">
        <v>24</v>
      </c>
      <c r="B25" s="17">
        <v>766.86699999999996</v>
      </c>
      <c r="C25" s="18">
        <v>370</v>
      </c>
      <c r="D25" s="17">
        <f t="shared" si="0"/>
        <v>396.86699999999996</v>
      </c>
      <c r="F25" s="16">
        <v>24</v>
      </c>
      <c r="G25" s="17">
        <v>947.26</v>
      </c>
      <c r="H25" s="18"/>
      <c r="I25" s="18"/>
      <c r="J25" s="17">
        <f t="shared" si="1"/>
        <v>947.26</v>
      </c>
      <c r="L25" t="s">
        <v>133</v>
      </c>
    </row>
    <row r="26" spans="1:12" x14ac:dyDescent="0.35">
      <c r="A26" s="16">
        <v>25</v>
      </c>
      <c r="B26" s="17">
        <v>428.96100000000001</v>
      </c>
      <c r="C26" s="18">
        <v>194.292</v>
      </c>
      <c r="D26" s="17">
        <f t="shared" si="0"/>
        <v>234.66900000000001</v>
      </c>
      <c r="F26" s="16">
        <v>25</v>
      </c>
      <c r="G26" s="17">
        <v>790.18999999999994</v>
      </c>
      <c r="H26" s="18"/>
      <c r="I26" s="18"/>
      <c r="J26" s="17">
        <f t="shared" si="1"/>
        <v>790.18999999999994</v>
      </c>
      <c r="L26" t="s">
        <v>133</v>
      </c>
    </row>
    <row r="27" spans="1:12" x14ac:dyDescent="0.35">
      <c r="A27" s="16">
        <v>26</v>
      </c>
      <c r="B27" s="17">
        <v>839.95799999999997</v>
      </c>
      <c r="C27" s="18">
        <v>600</v>
      </c>
      <c r="D27" s="17">
        <f t="shared" si="0"/>
        <v>239.95799999999997</v>
      </c>
      <c r="F27" s="16">
        <v>26</v>
      </c>
      <c r="G27" s="17">
        <v>790.18999999999994</v>
      </c>
      <c r="H27" s="18"/>
      <c r="I27" s="18"/>
      <c r="J27" s="17">
        <f t="shared" si="1"/>
        <v>790.18999999999994</v>
      </c>
      <c r="L27" t="s">
        <v>133</v>
      </c>
    </row>
    <row r="28" spans="1:12" x14ac:dyDescent="0.35">
      <c r="A28" t="s">
        <v>134</v>
      </c>
      <c r="C28" s="19">
        <f>AVERAGE(C2:C27)</f>
        <v>427.16680000000002</v>
      </c>
      <c r="D28" s="19">
        <f>AVERAGE(D2:D27)</f>
        <v>242.20934615384616</v>
      </c>
      <c r="F28" t="s">
        <v>134</v>
      </c>
      <c r="G28" s="4"/>
      <c r="H28" s="20">
        <f t="shared" ref="H28:I28" si="2">AVERAGE(H2:H22)</f>
        <v>180</v>
      </c>
      <c r="I28" s="20">
        <f t="shared" si="2"/>
        <v>45</v>
      </c>
      <c r="J28" s="20">
        <f>AVERAGE(J2:J27)</f>
        <v>525.14684615384624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5BA8-7A4C-4743-9A02-723278013950}">
  <dimension ref="A1:S32"/>
  <sheetViews>
    <sheetView workbookViewId="0"/>
  </sheetViews>
  <sheetFormatPr defaultRowHeight="14.5" x14ac:dyDescent="0.35"/>
  <cols>
    <col min="1" max="1" width="29.90625" style="9" bestFit="1" customWidth="1"/>
    <col min="2" max="2" width="7.26953125" style="3" bestFit="1" customWidth="1"/>
    <col min="3" max="3" width="4" style="3" bestFit="1" customWidth="1"/>
    <col min="4" max="4" width="10.1796875" style="3" bestFit="1" customWidth="1"/>
    <col min="5" max="5" width="25.36328125" style="3" bestFit="1" customWidth="1"/>
    <col min="6" max="6" width="24.26953125" style="23" bestFit="1" customWidth="1"/>
    <col min="7" max="7" width="23.453125" style="23" bestFit="1" customWidth="1"/>
    <col min="8" max="8" width="12.7265625" style="23" bestFit="1" customWidth="1"/>
    <col min="9" max="9" width="16.1796875" style="23" bestFit="1" customWidth="1"/>
    <col min="10" max="10" width="34.54296875" style="23" bestFit="1" customWidth="1"/>
    <col min="11" max="11" width="28.54296875" style="23" bestFit="1" customWidth="1"/>
    <col min="12" max="12" width="25.453125" style="23" bestFit="1" customWidth="1"/>
    <col min="13" max="13" width="33.1796875" style="23" bestFit="1" customWidth="1"/>
    <col min="14" max="14" width="23.81640625" style="23" bestFit="1" customWidth="1"/>
    <col min="15" max="15" width="20.26953125" style="23" bestFit="1" customWidth="1"/>
    <col min="16" max="19" width="8.7265625" style="23"/>
    <col min="20" max="16384" width="8.7265625" style="3"/>
  </cols>
  <sheetData>
    <row r="1" spans="1:15" x14ac:dyDescent="0.35">
      <c r="A1" s="28" t="s">
        <v>55</v>
      </c>
      <c r="B1" s="29" t="s">
        <v>57</v>
      </c>
      <c r="C1" s="29" t="s">
        <v>56</v>
      </c>
      <c r="D1" s="29" t="s">
        <v>58</v>
      </c>
      <c r="E1" s="29" t="s">
        <v>72</v>
      </c>
      <c r="F1" s="30" t="s">
        <v>75</v>
      </c>
      <c r="G1" s="30" t="s">
        <v>59</v>
      </c>
      <c r="H1" s="30" t="s">
        <v>60</v>
      </c>
      <c r="I1" s="30" t="s">
        <v>114</v>
      </c>
      <c r="J1" s="30" t="s">
        <v>61</v>
      </c>
      <c r="K1" s="30" t="s">
        <v>125</v>
      </c>
      <c r="L1" s="30" t="s">
        <v>71</v>
      </c>
      <c r="M1" s="30" t="s">
        <v>62</v>
      </c>
      <c r="N1" s="30" t="s">
        <v>63</v>
      </c>
      <c r="O1" s="30" t="s">
        <v>64</v>
      </c>
    </row>
    <row r="2" spans="1:15" x14ac:dyDescent="0.35">
      <c r="A2" s="9" t="s">
        <v>85</v>
      </c>
      <c r="B2" s="21">
        <v>55000</v>
      </c>
      <c r="C2" s="3">
        <v>0</v>
      </c>
      <c r="D2" s="3">
        <v>3</v>
      </c>
      <c r="E2" s="3" t="s">
        <v>24</v>
      </c>
      <c r="F2" s="23">
        <v>1</v>
      </c>
      <c r="G2" s="24">
        <v>2000</v>
      </c>
      <c r="H2" s="23">
        <v>24</v>
      </c>
      <c r="I2" s="23">
        <v>365</v>
      </c>
      <c r="J2" s="23">
        <f t="shared" ref="J2:J32" si="0">D2*I2*H2</f>
        <v>26280</v>
      </c>
      <c r="K2" s="27">
        <v>1440</v>
      </c>
      <c r="L2" s="23">
        <f t="shared" ref="L2:L32" si="1">J2/(K2/60)</f>
        <v>1095</v>
      </c>
      <c r="M2" s="25">
        <f t="shared" ref="M2:M32" si="2">G2*D2/L2</f>
        <v>5.4794520547945202</v>
      </c>
      <c r="N2" s="25">
        <f t="shared" ref="N2:N32" si="3">(B2*F2)/L2</f>
        <v>50.228310502283108</v>
      </c>
      <c r="O2" s="23">
        <f t="shared" ref="O2:O24" si="4">ROUND(M2+N2,2)</f>
        <v>55.71</v>
      </c>
    </row>
    <row r="3" spans="1:15" ht="29" x14ac:dyDescent="0.35">
      <c r="A3" s="9" t="s">
        <v>86</v>
      </c>
      <c r="B3" s="21">
        <v>30000</v>
      </c>
      <c r="C3" s="3">
        <v>0</v>
      </c>
      <c r="D3" s="3">
        <v>3</v>
      </c>
      <c r="E3" s="3" t="s">
        <v>24</v>
      </c>
      <c r="F3" s="23">
        <v>1</v>
      </c>
      <c r="G3" s="24">
        <v>500</v>
      </c>
      <c r="H3" s="23">
        <v>24</v>
      </c>
      <c r="I3" s="23">
        <v>365</v>
      </c>
      <c r="J3" s="23">
        <f t="shared" si="0"/>
        <v>26280</v>
      </c>
      <c r="K3" s="27">
        <v>1440</v>
      </c>
      <c r="L3" s="23">
        <f t="shared" si="1"/>
        <v>1095</v>
      </c>
      <c r="M3" s="25">
        <f t="shared" si="2"/>
        <v>1.3698630136986301</v>
      </c>
      <c r="N3" s="25">
        <f t="shared" si="3"/>
        <v>27.397260273972602</v>
      </c>
      <c r="O3" s="23">
        <f t="shared" si="4"/>
        <v>28.77</v>
      </c>
    </row>
    <row r="4" spans="1:15" ht="43.5" x14ac:dyDescent="0.35">
      <c r="A4" s="9" t="s">
        <v>87</v>
      </c>
      <c r="B4" s="21">
        <v>40000</v>
      </c>
      <c r="C4" s="3">
        <v>0</v>
      </c>
      <c r="D4" s="3">
        <v>5</v>
      </c>
      <c r="E4" s="3" t="s">
        <v>112</v>
      </c>
      <c r="F4" s="23">
        <f>1/3*'kalkulační list'!$B$8</f>
        <v>0.3</v>
      </c>
      <c r="G4" s="24">
        <v>2000</v>
      </c>
      <c r="H4" s="23">
        <v>24</v>
      </c>
      <c r="I4" s="23">
        <v>365</v>
      </c>
      <c r="J4" s="23">
        <f t="shared" si="0"/>
        <v>43800</v>
      </c>
      <c r="K4" s="27">
        <v>1440</v>
      </c>
      <c r="L4" s="23">
        <f t="shared" si="1"/>
        <v>1825</v>
      </c>
      <c r="M4" s="25">
        <f t="shared" si="2"/>
        <v>5.4794520547945202</v>
      </c>
      <c r="N4" s="25">
        <f t="shared" si="3"/>
        <v>6.5753424657534243</v>
      </c>
      <c r="O4" s="23">
        <f t="shared" si="4"/>
        <v>12.05</v>
      </c>
    </row>
    <row r="5" spans="1:15" x14ac:dyDescent="0.35">
      <c r="A5" s="9" t="s">
        <v>88</v>
      </c>
      <c r="B5" s="21">
        <v>7000</v>
      </c>
      <c r="C5" s="3">
        <v>0</v>
      </c>
      <c r="D5" s="3">
        <v>3</v>
      </c>
      <c r="E5" s="3" t="s">
        <v>24</v>
      </c>
      <c r="F5" s="23">
        <v>1</v>
      </c>
      <c r="G5" s="24">
        <v>500</v>
      </c>
      <c r="H5" s="23">
        <v>24</v>
      </c>
      <c r="I5" s="23">
        <v>365</v>
      </c>
      <c r="J5" s="23">
        <f t="shared" si="0"/>
        <v>26280</v>
      </c>
      <c r="K5" s="27">
        <v>1440</v>
      </c>
      <c r="L5" s="23">
        <f t="shared" si="1"/>
        <v>1095</v>
      </c>
      <c r="M5" s="25">
        <f t="shared" si="2"/>
        <v>1.3698630136986301</v>
      </c>
      <c r="N5" s="25">
        <f t="shared" si="3"/>
        <v>6.3926940639269407</v>
      </c>
      <c r="O5" s="23">
        <f t="shared" si="4"/>
        <v>7.76</v>
      </c>
    </row>
    <row r="6" spans="1:15" ht="29" x14ac:dyDescent="0.35">
      <c r="A6" s="9" t="s">
        <v>89</v>
      </c>
      <c r="B6" s="21">
        <v>2500</v>
      </c>
      <c r="C6" s="3">
        <v>0</v>
      </c>
      <c r="D6" s="3">
        <v>5</v>
      </c>
      <c r="E6" s="3" t="s">
        <v>112</v>
      </c>
      <c r="F6" s="23">
        <f>1/3*'kalkulační list'!$B$8</f>
        <v>0.3</v>
      </c>
      <c r="G6" s="24">
        <v>500</v>
      </c>
      <c r="H6" s="23">
        <v>12</v>
      </c>
      <c r="I6" s="23">
        <v>365</v>
      </c>
      <c r="J6" s="23">
        <f t="shared" si="0"/>
        <v>21900</v>
      </c>
      <c r="K6" s="27">
        <v>720</v>
      </c>
      <c r="L6" s="23">
        <f t="shared" si="1"/>
        <v>1825</v>
      </c>
      <c r="M6" s="25">
        <f t="shared" si="2"/>
        <v>1.3698630136986301</v>
      </c>
      <c r="N6" s="25">
        <f t="shared" si="3"/>
        <v>0.41095890410958902</v>
      </c>
      <c r="O6" s="23">
        <f t="shared" si="4"/>
        <v>1.78</v>
      </c>
    </row>
    <row r="7" spans="1:15" x14ac:dyDescent="0.35">
      <c r="A7" s="9" t="s">
        <v>90</v>
      </c>
      <c r="B7" s="21">
        <v>3400</v>
      </c>
      <c r="C7" s="3">
        <v>0</v>
      </c>
      <c r="D7" s="3">
        <v>5</v>
      </c>
      <c r="E7" s="3" t="s">
        <v>112</v>
      </c>
      <c r="F7" s="23">
        <f>1/3*'kalkulační list'!$B$8</f>
        <v>0.3</v>
      </c>
      <c r="G7" s="24">
        <v>500</v>
      </c>
      <c r="H7" s="23">
        <f t="shared" ref="H7:H32" si="5">IF(B7&lt;1000000,4,IF(B7&gt;=5,12,6))</f>
        <v>4</v>
      </c>
      <c r="I7" s="23">
        <v>365</v>
      </c>
      <c r="J7" s="23">
        <f t="shared" si="0"/>
        <v>7300</v>
      </c>
      <c r="K7" s="27">
        <v>60</v>
      </c>
      <c r="L7" s="23">
        <f t="shared" si="1"/>
        <v>7300</v>
      </c>
      <c r="M7" s="25">
        <f t="shared" si="2"/>
        <v>0.34246575342465752</v>
      </c>
      <c r="N7" s="25">
        <f t="shared" si="3"/>
        <v>0.13972602739726028</v>
      </c>
      <c r="O7" s="23">
        <f t="shared" si="4"/>
        <v>0.48</v>
      </c>
    </row>
    <row r="8" spans="1:15" x14ac:dyDescent="0.35">
      <c r="A8" s="9" t="s">
        <v>91</v>
      </c>
      <c r="B8" s="21">
        <v>43500</v>
      </c>
      <c r="C8" s="3">
        <v>0</v>
      </c>
      <c r="D8" s="3">
        <v>8</v>
      </c>
      <c r="E8" s="3" t="s">
        <v>25</v>
      </c>
      <c r="F8" s="23">
        <f>1/'kalkulační list'!$B$7/'kalkulační list'!$B$8</f>
        <v>7.407407407407407E-2</v>
      </c>
      <c r="G8" s="24">
        <v>500</v>
      </c>
      <c r="H8" s="23">
        <f t="shared" si="5"/>
        <v>4</v>
      </c>
      <c r="I8" s="23">
        <v>365</v>
      </c>
      <c r="J8" s="23">
        <f t="shared" si="0"/>
        <v>11680</v>
      </c>
      <c r="K8" s="27">
        <v>45</v>
      </c>
      <c r="L8" s="26">
        <f t="shared" si="1"/>
        <v>15573.333333333334</v>
      </c>
      <c r="M8" s="25">
        <f t="shared" si="2"/>
        <v>0.25684931506849312</v>
      </c>
      <c r="N8" s="25">
        <f t="shared" si="3"/>
        <v>0.20690639269406391</v>
      </c>
      <c r="O8" s="23">
        <f t="shared" si="4"/>
        <v>0.46</v>
      </c>
    </row>
    <row r="9" spans="1:15" x14ac:dyDescent="0.35">
      <c r="A9" s="9" t="s">
        <v>92</v>
      </c>
      <c r="B9" s="21">
        <v>25000</v>
      </c>
      <c r="C9" s="3">
        <v>0</v>
      </c>
      <c r="D9" s="3">
        <v>5</v>
      </c>
      <c r="E9" s="3" t="s">
        <v>25</v>
      </c>
      <c r="F9" s="23">
        <f>1/'kalkulační list'!$B$7/'kalkulační list'!$B$8</f>
        <v>7.407407407407407E-2</v>
      </c>
      <c r="G9" s="24">
        <v>1000</v>
      </c>
      <c r="H9" s="23">
        <f t="shared" si="5"/>
        <v>4</v>
      </c>
      <c r="I9" s="23">
        <v>365</v>
      </c>
      <c r="J9" s="23">
        <f t="shared" si="0"/>
        <v>7300</v>
      </c>
      <c r="K9" s="27">
        <v>240</v>
      </c>
      <c r="L9" s="23">
        <f t="shared" si="1"/>
        <v>1825</v>
      </c>
      <c r="M9" s="25">
        <f t="shared" si="2"/>
        <v>2.7397260273972601</v>
      </c>
      <c r="N9" s="25">
        <f t="shared" si="3"/>
        <v>1.0147133434804667</v>
      </c>
      <c r="O9" s="23">
        <f t="shared" si="4"/>
        <v>3.75</v>
      </c>
    </row>
    <row r="10" spans="1:15" ht="29" x14ac:dyDescent="0.35">
      <c r="A10" s="9" t="s">
        <v>93</v>
      </c>
      <c r="B10" s="21">
        <v>3920</v>
      </c>
      <c r="C10" s="3">
        <v>0</v>
      </c>
      <c r="D10" s="3">
        <v>5</v>
      </c>
      <c r="E10" s="3" t="s">
        <v>24</v>
      </c>
      <c r="F10" s="23">
        <v>1</v>
      </c>
      <c r="G10" s="24">
        <v>500</v>
      </c>
      <c r="H10" s="23">
        <v>24</v>
      </c>
      <c r="I10" s="23">
        <v>365</v>
      </c>
      <c r="J10" s="23">
        <f t="shared" si="0"/>
        <v>43800</v>
      </c>
      <c r="K10" s="27">
        <v>1440</v>
      </c>
      <c r="L10" s="23">
        <f t="shared" si="1"/>
        <v>1825</v>
      </c>
      <c r="M10" s="25">
        <f t="shared" si="2"/>
        <v>1.3698630136986301</v>
      </c>
      <c r="N10" s="25">
        <f t="shared" si="3"/>
        <v>2.1479452054794521</v>
      </c>
      <c r="O10" s="23">
        <f t="shared" si="4"/>
        <v>3.52</v>
      </c>
    </row>
    <row r="11" spans="1:15" ht="29" x14ac:dyDescent="0.35">
      <c r="A11" s="9" t="s">
        <v>94</v>
      </c>
      <c r="B11" s="21">
        <v>20980</v>
      </c>
      <c r="C11" s="3">
        <v>0</v>
      </c>
      <c r="D11" s="3">
        <v>5</v>
      </c>
      <c r="E11" s="3" t="s">
        <v>25</v>
      </c>
      <c r="F11" s="23">
        <f>1/'kalkulační list'!$B$7/'kalkulační list'!$B$8</f>
        <v>7.407407407407407E-2</v>
      </c>
      <c r="G11" s="24">
        <v>1000</v>
      </c>
      <c r="H11" s="23">
        <f t="shared" si="5"/>
        <v>4</v>
      </c>
      <c r="I11" s="23">
        <v>365</v>
      </c>
      <c r="J11" s="23">
        <f t="shared" si="0"/>
        <v>7300</v>
      </c>
      <c r="K11" s="27">
        <v>30</v>
      </c>
      <c r="L11" s="23">
        <f t="shared" si="1"/>
        <v>14600</v>
      </c>
      <c r="M11" s="25">
        <f t="shared" si="2"/>
        <v>0.34246575342465752</v>
      </c>
      <c r="N11" s="25">
        <f t="shared" si="3"/>
        <v>0.10644342973110095</v>
      </c>
      <c r="O11" s="23">
        <f t="shared" si="4"/>
        <v>0.45</v>
      </c>
    </row>
    <row r="12" spans="1:15" ht="29" x14ac:dyDescent="0.35">
      <c r="A12" s="9" t="s">
        <v>95</v>
      </c>
      <c r="B12" s="21">
        <v>100000</v>
      </c>
      <c r="C12" s="3">
        <v>0</v>
      </c>
      <c r="D12" s="3">
        <v>5</v>
      </c>
      <c r="E12" s="3" t="s">
        <v>25</v>
      </c>
      <c r="F12" s="23">
        <f>1/'kalkulační list'!$B$7/'kalkulační list'!$B$8</f>
        <v>7.407407407407407E-2</v>
      </c>
      <c r="G12" s="24">
        <v>2000</v>
      </c>
      <c r="H12" s="23">
        <f t="shared" si="5"/>
        <v>4</v>
      </c>
      <c r="I12" s="23">
        <v>365</v>
      </c>
      <c r="J12" s="23">
        <f t="shared" si="0"/>
        <v>7300</v>
      </c>
      <c r="K12" s="27">
        <v>60</v>
      </c>
      <c r="L12" s="23">
        <f t="shared" si="1"/>
        <v>7300</v>
      </c>
      <c r="M12" s="25">
        <f t="shared" si="2"/>
        <v>1.3698630136986301</v>
      </c>
      <c r="N12" s="25">
        <f t="shared" si="3"/>
        <v>1.0147133434804667</v>
      </c>
      <c r="O12" s="23">
        <f t="shared" si="4"/>
        <v>2.38</v>
      </c>
    </row>
    <row r="13" spans="1:15" ht="29" x14ac:dyDescent="0.35">
      <c r="A13" s="9" t="s">
        <v>96</v>
      </c>
      <c r="B13" s="21">
        <v>50000</v>
      </c>
      <c r="C13" s="3">
        <v>0</v>
      </c>
      <c r="D13" s="3">
        <v>5</v>
      </c>
      <c r="E13" s="3" t="s">
        <v>25</v>
      </c>
      <c r="F13" s="23">
        <f>1/'kalkulační list'!$B$7/'kalkulační list'!$B$8</f>
        <v>7.407407407407407E-2</v>
      </c>
      <c r="G13" s="24">
        <v>2000</v>
      </c>
      <c r="H13" s="23">
        <f t="shared" si="5"/>
        <v>4</v>
      </c>
      <c r="I13" s="23">
        <v>365</v>
      </c>
      <c r="J13" s="23">
        <f t="shared" si="0"/>
        <v>7300</v>
      </c>
      <c r="K13" s="27">
        <v>30</v>
      </c>
      <c r="L13" s="23">
        <f t="shared" si="1"/>
        <v>14600</v>
      </c>
      <c r="M13" s="25">
        <f t="shared" si="2"/>
        <v>0.68493150684931503</v>
      </c>
      <c r="N13" s="25">
        <f t="shared" si="3"/>
        <v>0.25367833587011668</v>
      </c>
      <c r="O13" s="23">
        <f t="shared" si="4"/>
        <v>0.94</v>
      </c>
    </row>
    <row r="14" spans="1:15" x14ac:dyDescent="0.35">
      <c r="A14" s="9" t="s">
        <v>97</v>
      </c>
      <c r="B14" s="21">
        <v>30000</v>
      </c>
      <c r="C14" s="3">
        <v>0</v>
      </c>
      <c r="D14" s="11">
        <v>5</v>
      </c>
      <c r="E14" s="3" t="s">
        <v>25</v>
      </c>
      <c r="F14" s="23">
        <f>1/'kalkulační list'!$B$7/'kalkulační list'!$B$8</f>
        <v>7.407407407407407E-2</v>
      </c>
      <c r="G14" s="24">
        <v>0</v>
      </c>
      <c r="H14" s="23">
        <f t="shared" si="5"/>
        <v>4</v>
      </c>
      <c r="I14" s="23">
        <v>365</v>
      </c>
      <c r="J14" s="23">
        <f t="shared" si="0"/>
        <v>7300</v>
      </c>
      <c r="K14" s="27">
        <v>60</v>
      </c>
      <c r="L14" s="23">
        <f t="shared" si="1"/>
        <v>7300</v>
      </c>
      <c r="M14" s="25">
        <f t="shared" si="2"/>
        <v>0</v>
      </c>
      <c r="N14" s="25">
        <f t="shared" si="3"/>
        <v>0.30441400304414001</v>
      </c>
      <c r="O14" s="23">
        <f t="shared" si="4"/>
        <v>0.3</v>
      </c>
    </row>
    <row r="15" spans="1:15" ht="43.5" x14ac:dyDescent="0.35">
      <c r="A15" s="9" t="s">
        <v>98</v>
      </c>
      <c r="B15" s="21">
        <v>200000</v>
      </c>
      <c r="C15" s="3">
        <v>0</v>
      </c>
      <c r="D15" s="3">
        <v>5</v>
      </c>
      <c r="E15" s="3" t="s">
        <v>25</v>
      </c>
      <c r="F15" s="23">
        <f>1/'kalkulační list'!$B$7/'kalkulační list'!$B$8</f>
        <v>7.407407407407407E-2</v>
      </c>
      <c r="G15" s="24">
        <v>2000</v>
      </c>
      <c r="H15" s="23">
        <f t="shared" si="5"/>
        <v>4</v>
      </c>
      <c r="I15" s="23">
        <v>365</v>
      </c>
      <c r="J15" s="23">
        <f t="shared" si="0"/>
        <v>7300</v>
      </c>
      <c r="K15" s="27">
        <v>60</v>
      </c>
      <c r="L15" s="23">
        <f t="shared" si="1"/>
        <v>7300</v>
      </c>
      <c r="M15" s="25">
        <f t="shared" si="2"/>
        <v>1.3698630136986301</v>
      </c>
      <c r="N15" s="25">
        <f t="shared" si="3"/>
        <v>2.0294266869609334</v>
      </c>
      <c r="O15" s="23">
        <f t="shared" si="4"/>
        <v>3.4</v>
      </c>
    </row>
    <row r="16" spans="1:15" x14ac:dyDescent="0.35">
      <c r="A16" s="22" t="s">
        <v>67</v>
      </c>
      <c r="B16" s="21">
        <v>30000</v>
      </c>
      <c r="C16" s="3">
        <v>0</v>
      </c>
      <c r="D16" s="3">
        <v>5</v>
      </c>
      <c r="E16" s="3" t="s">
        <v>25</v>
      </c>
      <c r="F16" s="23">
        <f>1/'kalkulační list'!$B$7/'kalkulační list'!$B$8</f>
        <v>7.407407407407407E-2</v>
      </c>
      <c r="G16" s="24">
        <v>4000</v>
      </c>
      <c r="H16" s="23">
        <f t="shared" si="5"/>
        <v>4</v>
      </c>
      <c r="I16" s="23">
        <v>365</v>
      </c>
      <c r="J16" s="23">
        <f t="shared" si="0"/>
        <v>7300</v>
      </c>
      <c r="K16" s="27">
        <v>1</v>
      </c>
      <c r="L16" s="23">
        <f t="shared" si="1"/>
        <v>438000</v>
      </c>
      <c r="M16" s="25">
        <f t="shared" si="2"/>
        <v>4.5662100456621002E-2</v>
      </c>
      <c r="N16" s="25">
        <f t="shared" si="3"/>
        <v>5.0735667174023336E-3</v>
      </c>
      <c r="O16" s="23">
        <v>0</v>
      </c>
    </row>
    <row r="17" spans="1:15" x14ac:dyDescent="0.35">
      <c r="A17" s="9" t="s">
        <v>99</v>
      </c>
      <c r="B17" s="21">
        <v>100000</v>
      </c>
      <c r="C17" s="3">
        <v>0</v>
      </c>
      <c r="D17" s="3">
        <v>8</v>
      </c>
      <c r="E17" s="3" t="s">
        <v>25</v>
      </c>
      <c r="F17" s="23">
        <f>1/'kalkulační list'!$B$7/'kalkulační list'!$B$8</f>
        <v>7.407407407407407E-2</v>
      </c>
      <c r="G17" s="24">
        <v>1000</v>
      </c>
      <c r="H17" s="23">
        <f t="shared" si="5"/>
        <v>4</v>
      </c>
      <c r="I17" s="23">
        <v>365</v>
      </c>
      <c r="J17" s="23">
        <f t="shared" si="0"/>
        <v>11680</v>
      </c>
      <c r="K17" s="27">
        <v>10</v>
      </c>
      <c r="L17" s="23">
        <f t="shared" si="1"/>
        <v>70080</v>
      </c>
      <c r="M17" s="25">
        <f t="shared" si="2"/>
        <v>0.11415525114155251</v>
      </c>
      <c r="N17" s="25">
        <f t="shared" si="3"/>
        <v>0.10569930661254862</v>
      </c>
      <c r="O17" s="23">
        <f t="shared" si="4"/>
        <v>0.22</v>
      </c>
    </row>
    <row r="18" spans="1:15" x14ac:dyDescent="0.35">
      <c r="A18" s="9" t="s">
        <v>70</v>
      </c>
      <c r="B18" s="21">
        <v>4500</v>
      </c>
      <c r="C18" s="3">
        <v>0</v>
      </c>
      <c r="D18" s="3">
        <v>3</v>
      </c>
      <c r="E18" s="3" t="s">
        <v>112</v>
      </c>
      <c r="F18" s="23">
        <f>1/3*'kalkulační list'!$B$8</f>
        <v>0.3</v>
      </c>
      <c r="G18" s="24">
        <v>500</v>
      </c>
      <c r="H18" s="23">
        <v>24</v>
      </c>
      <c r="I18" s="23">
        <v>365</v>
      </c>
      <c r="J18" s="23">
        <f t="shared" si="0"/>
        <v>26280</v>
      </c>
      <c r="K18" s="27">
        <v>1440</v>
      </c>
      <c r="L18" s="23">
        <f t="shared" si="1"/>
        <v>1095</v>
      </c>
      <c r="M18" s="25">
        <f t="shared" si="2"/>
        <v>1.3698630136986301</v>
      </c>
      <c r="N18" s="25">
        <f t="shared" si="3"/>
        <v>1.2328767123287672</v>
      </c>
      <c r="O18" s="23">
        <f t="shared" si="4"/>
        <v>2.6</v>
      </c>
    </row>
    <row r="19" spans="1:15" x14ac:dyDescent="0.35">
      <c r="A19" s="9" t="s">
        <v>68</v>
      </c>
      <c r="B19" s="21">
        <v>30000</v>
      </c>
      <c r="C19" s="3">
        <v>0</v>
      </c>
      <c r="D19" s="3">
        <v>5</v>
      </c>
      <c r="E19" s="3" t="s">
        <v>112</v>
      </c>
      <c r="F19" s="23">
        <f>1/3*'kalkulační list'!$B$8</f>
        <v>0.3</v>
      </c>
      <c r="G19" s="24">
        <v>1000</v>
      </c>
      <c r="H19" s="23">
        <v>12</v>
      </c>
      <c r="I19" s="23">
        <v>365</v>
      </c>
      <c r="J19" s="23">
        <f t="shared" si="0"/>
        <v>21900</v>
      </c>
      <c r="K19" s="27">
        <v>1080</v>
      </c>
      <c r="L19" s="26">
        <f t="shared" si="1"/>
        <v>1216.6666666666667</v>
      </c>
      <c r="M19" s="25">
        <f t="shared" si="2"/>
        <v>4.10958904109589</v>
      </c>
      <c r="N19" s="25">
        <f t="shared" si="3"/>
        <v>7.3972602739726021</v>
      </c>
      <c r="O19" s="23">
        <f t="shared" si="4"/>
        <v>11.51</v>
      </c>
    </row>
    <row r="20" spans="1:15" x14ac:dyDescent="0.35">
      <c r="A20" s="9" t="s">
        <v>100</v>
      </c>
      <c r="B20" s="21">
        <v>60000</v>
      </c>
      <c r="C20" s="3">
        <v>0</v>
      </c>
      <c r="D20" s="3">
        <v>3</v>
      </c>
      <c r="E20" s="3" t="s">
        <v>113</v>
      </c>
      <c r="F20" s="23">
        <f>3/'kalkulační list'!$B$7/'kalkulační list'!$B$8</f>
        <v>0.22222222222222224</v>
      </c>
      <c r="G20" s="24">
        <v>1000</v>
      </c>
      <c r="H20" s="23">
        <v>24</v>
      </c>
      <c r="I20" s="23">
        <v>365</v>
      </c>
      <c r="J20" s="23">
        <f t="shared" si="0"/>
        <v>26280</v>
      </c>
      <c r="K20" s="27">
        <v>1440</v>
      </c>
      <c r="L20" s="23">
        <f t="shared" si="1"/>
        <v>1095</v>
      </c>
      <c r="M20" s="25">
        <f t="shared" si="2"/>
        <v>2.7397260273972601</v>
      </c>
      <c r="N20" s="25">
        <f t="shared" si="3"/>
        <v>12.176560121765602</v>
      </c>
      <c r="O20" s="23">
        <f t="shared" si="4"/>
        <v>14.92</v>
      </c>
    </row>
    <row r="21" spans="1:15" x14ac:dyDescent="0.35">
      <c r="A21" s="9" t="s">
        <v>69</v>
      </c>
      <c r="B21" s="21">
        <v>30000</v>
      </c>
      <c r="C21" s="3">
        <v>0</v>
      </c>
      <c r="D21" s="3">
        <v>3</v>
      </c>
      <c r="E21" s="3" t="s">
        <v>113</v>
      </c>
      <c r="F21" s="23">
        <f>3/'kalkulační list'!$B$7/'kalkulační list'!$B$8</f>
        <v>0.22222222222222224</v>
      </c>
      <c r="G21" s="24">
        <v>1000</v>
      </c>
      <c r="H21" s="23">
        <v>24</v>
      </c>
      <c r="I21" s="23">
        <v>365</v>
      </c>
      <c r="J21" s="23">
        <f t="shared" si="0"/>
        <v>26280</v>
      </c>
      <c r="K21" s="27">
        <v>1440</v>
      </c>
      <c r="L21" s="23">
        <f t="shared" si="1"/>
        <v>1095</v>
      </c>
      <c r="M21" s="25">
        <f t="shared" si="2"/>
        <v>2.7397260273972601</v>
      </c>
      <c r="N21" s="25">
        <f t="shared" si="3"/>
        <v>6.0882800608828012</v>
      </c>
      <c r="O21" s="23">
        <f t="shared" si="4"/>
        <v>8.83</v>
      </c>
    </row>
    <row r="22" spans="1:15" ht="29" x14ac:dyDescent="0.35">
      <c r="A22" s="9" t="s">
        <v>101</v>
      </c>
      <c r="B22" s="21">
        <v>28000</v>
      </c>
      <c r="C22" s="3">
        <v>0</v>
      </c>
      <c r="D22" s="3">
        <v>3</v>
      </c>
      <c r="E22" s="3" t="s">
        <v>112</v>
      </c>
      <c r="F22" s="23">
        <f>1/3*'kalkulační list'!$B$8</f>
        <v>0.3</v>
      </c>
      <c r="G22" s="24">
        <v>500</v>
      </c>
      <c r="H22" s="23">
        <v>24</v>
      </c>
      <c r="I22" s="23">
        <v>365</v>
      </c>
      <c r="J22" s="23">
        <f t="shared" si="0"/>
        <v>26280</v>
      </c>
      <c r="K22" s="27">
        <v>1440</v>
      </c>
      <c r="L22" s="23">
        <f t="shared" si="1"/>
        <v>1095</v>
      </c>
      <c r="M22" s="25">
        <f t="shared" si="2"/>
        <v>1.3698630136986301</v>
      </c>
      <c r="N22" s="25">
        <f t="shared" si="3"/>
        <v>7.6712328767123283</v>
      </c>
      <c r="O22" s="23">
        <f t="shared" si="4"/>
        <v>9.0399999999999991</v>
      </c>
    </row>
    <row r="23" spans="1:15" ht="29" x14ac:dyDescent="0.35">
      <c r="A23" s="9" t="s">
        <v>102</v>
      </c>
      <c r="B23" s="21">
        <v>65000</v>
      </c>
      <c r="C23" s="3">
        <v>0</v>
      </c>
      <c r="D23" s="3">
        <v>5</v>
      </c>
      <c r="E23" s="3" t="s">
        <v>73</v>
      </c>
      <c r="F23" s="23">
        <f>1/'kalkulační list'!$B$7/'kalkulační list'!$B$8</f>
        <v>7.407407407407407E-2</v>
      </c>
      <c r="G23" s="24">
        <v>3000</v>
      </c>
      <c r="H23" s="23">
        <f t="shared" si="5"/>
        <v>4</v>
      </c>
      <c r="I23" s="23">
        <v>365</v>
      </c>
      <c r="J23" s="23">
        <f t="shared" si="0"/>
        <v>7300</v>
      </c>
      <c r="K23" s="27">
        <v>30</v>
      </c>
      <c r="L23" s="23">
        <f t="shared" si="1"/>
        <v>14600</v>
      </c>
      <c r="M23" s="25">
        <f t="shared" si="2"/>
        <v>1.0273972602739727</v>
      </c>
      <c r="N23" s="25">
        <f t="shared" si="3"/>
        <v>0.32978183663115168</v>
      </c>
      <c r="O23" s="23">
        <f t="shared" si="4"/>
        <v>1.36</v>
      </c>
    </row>
    <row r="24" spans="1:15" ht="29" x14ac:dyDescent="0.35">
      <c r="A24" s="9" t="s">
        <v>103</v>
      </c>
      <c r="B24" s="21">
        <v>25000</v>
      </c>
      <c r="C24" s="3">
        <v>0</v>
      </c>
      <c r="D24" s="3">
        <v>5</v>
      </c>
      <c r="E24" s="3" t="s">
        <v>73</v>
      </c>
      <c r="F24" s="23">
        <f>1/'kalkulační list'!$B$7/'kalkulační list'!$B$8</f>
        <v>7.407407407407407E-2</v>
      </c>
      <c r="G24" s="24">
        <v>0</v>
      </c>
      <c r="H24" s="23">
        <f t="shared" si="5"/>
        <v>4</v>
      </c>
      <c r="I24" s="23">
        <v>365</v>
      </c>
      <c r="J24" s="23">
        <f t="shared" si="0"/>
        <v>7300</v>
      </c>
      <c r="K24" s="27">
        <v>30</v>
      </c>
      <c r="L24" s="23">
        <f t="shared" si="1"/>
        <v>14600</v>
      </c>
      <c r="M24" s="25">
        <f t="shared" si="2"/>
        <v>0</v>
      </c>
      <c r="N24" s="25">
        <f t="shared" si="3"/>
        <v>0.12683916793505834</v>
      </c>
      <c r="O24" s="23">
        <f t="shared" si="4"/>
        <v>0.13</v>
      </c>
    </row>
    <row r="25" spans="1:15" x14ac:dyDescent="0.35">
      <c r="A25" s="22" t="s">
        <v>104</v>
      </c>
      <c r="B25" s="21">
        <v>1000</v>
      </c>
      <c r="C25" s="3">
        <v>0</v>
      </c>
      <c r="D25" s="3">
        <v>3</v>
      </c>
      <c r="E25" s="3" t="s">
        <v>73</v>
      </c>
      <c r="F25" s="23">
        <f>1/'kalkulační list'!$B$7/'kalkulační list'!$B$8</f>
        <v>7.407407407407407E-2</v>
      </c>
      <c r="G25" s="24">
        <v>0</v>
      </c>
      <c r="H25" s="23">
        <f t="shared" si="5"/>
        <v>4</v>
      </c>
      <c r="I25" s="23">
        <v>365</v>
      </c>
      <c r="J25" s="23">
        <f t="shared" si="0"/>
        <v>4380</v>
      </c>
      <c r="K25" s="27">
        <v>10</v>
      </c>
      <c r="L25" s="23">
        <f t="shared" si="1"/>
        <v>26280</v>
      </c>
      <c r="M25" s="25">
        <f t="shared" si="2"/>
        <v>0</v>
      </c>
      <c r="N25" s="25">
        <f t="shared" si="3"/>
        <v>2.81864817633463E-3</v>
      </c>
      <c r="O25" s="23">
        <v>0</v>
      </c>
    </row>
    <row r="26" spans="1:15" x14ac:dyDescent="0.35">
      <c r="A26" s="22" t="s">
        <v>105</v>
      </c>
      <c r="B26" s="21">
        <v>2020</v>
      </c>
      <c r="C26" s="3">
        <v>0</v>
      </c>
      <c r="D26" s="3">
        <v>5</v>
      </c>
      <c r="E26" s="3" t="s">
        <v>73</v>
      </c>
      <c r="F26" s="23">
        <f>1/'kalkulační list'!$B$7/'kalkulační list'!$B$8</f>
        <v>7.407407407407407E-2</v>
      </c>
      <c r="G26" s="24">
        <v>500</v>
      </c>
      <c r="H26" s="23">
        <f t="shared" si="5"/>
        <v>4</v>
      </c>
      <c r="I26" s="23">
        <v>365</v>
      </c>
      <c r="J26" s="23">
        <f t="shared" si="0"/>
        <v>7300</v>
      </c>
      <c r="K26" s="27">
        <v>10</v>
      </c>
      <c r="L26" s="23">
        <f t="shared" si="1"/>
        <v>43800</v>
      </c>
      <c r="M26" s="25">
        <f t="shared" si="2"/>
        <v>5.7077625570776253E-2</v>
      </c>
      <c r="N26" s="25">
        <f t="shared" si="3"/>
        <v>3.416201589717571E-3</v>
      </c>
      <c r="O26" s="23">
        <v>0</v>
      </c>
    </row>
    <row r="27" spans="1:15" x14ac:dyDescent="0.35">
      <c r="A27" s="22" t="s">
        <v>106</v>
      </c>
      <c r="B27" s="21">
        <v>3067</v>
      </c>
      <c r="C27" s="3">
        <v>0</v>
      </c>
      <c r="D27" s="3">
        <v>5</v>
      </c>
      <c r="E27" s="3" t="s">
        <v>74</v>
      </c>
      <c r="F27" s="23">
        <f>2/'kalkulační list'!$B$7/'kalkulační list'!$B$8</f>
        <v>0.14814814814814814</v>
      </c>
      <c r="G27" s="24">
        <v>0</v>
      </c>
      <c r="H27" s="23">
        <f t="shared" si="5"/>
        <v>4</v>
      </c>
      <c r="I27" s="23">
        <v>365</v>
      </c>
      <c r="J27" s="23">
        <f t="shared" si="0"/>
        <v>7300</v>
      </c>
      <c r="K27" s="27">
        <v>10</v>
      </c>
      <c r="L27" s="23">
        <f t="shared" si="1"/>
        <v>43800</v>
      </c>
      <c r="M27" s="25">
        <f t="shared" si="2"/>
        <v>0</v>
      </c>
      <c r="N27" s="25">
        <f t="shared" si="3"/>
        <v>1.0373752748181971E-2</v>
      </c>
      <c r="O27" s="23">
        <v>0</v>
      </c>
    </row>
    <row r="28" spans="1:15" x14ac:dyDescent="0.35">
      <c r="A28" s="22" t="s">
        <v>107</v>
      </c>
      <c r="B28" s="21">
        <v>2000</v>
      </c>
      <c r="C28" s="3">
        <v>0</v>
      </c>
      <c r="D28" s="3">
        <v>2</v>
      </c>
      <c r="E28" s="3" t="s">
        <v>113</v>
      </c>
      <c r="F28" s="23">
        <f>3/'kalkulační list'!$B$7/'kalkulační list'!$B$8</f>
        <v>0.22222222222222224</v>
      </c>
      <c r="G28" s="24">
        <v>0</v>
      </c>
      <c r="H28" s="23">
        <f t="shared" si="5"/>
        <v>4</v>
      </c>
      <c r="I28" s="23">
        <v>365</v>
      </c>
      <c r="J28" s="23">
        <f t="shared" si="0"/>
        <v>2920</v>
      </c>
      <c r="K28" s="27">
        <v>10</v>
      </c>
      <c r="L28" s="23">
        <f t="shared" si="1"/>
        <v>17520</v>
      </c>
      <c r="M28" s="25">
        <f t="shared" si="2"/>
        <v>0</v>
      </c>
      <c r="N28" s="25">
        <f t="shared" si="3"/>
        <v>2.5367833587011671E-2</v>
      </c>
      <c r="O28" s="23">
        <v>0</v>
      </c>
    </row>
    <row r="29" spans="1:15" x14ac:dyDescent="0.35">
      <c r="A29" s="22" t="s">
        <v>108</v>
      </c>
      <c r="B29" s="21">
        <v>4000</v>
      </c>
      <c r="C29" s="3">
        <v>0</v>
      </c>
      <c r="D29" s="3">
        <v>5</v>
      </c>
      <c r="E29" s="3" t="s">
        <v>112</v>
      </c>
      <c r="F29" s="23">
        <f>1/3*'kalkulační list'!$B$8</f>
        <v>0.3</v>
      </c>
      <c r="G29" s="24">
        <v>0</v>
      </c>
      <c r="H29" s="23">
        <v>24</v>
      </c>
      <c r="I29" s="23">
        <v>365</v>
      </c>
      <c r="J29" s="23">
        <f t="shared" si="0"/>
        <v>43800</v>
      </c>
      <c r="K29" s="27">
        <v>1440</v>
      </c>
      <c r="L29" s="23">
        <f t="shared" si="1"/>
        <v>1825</v>
      </c>
      <c r="M29" s="25">
        <f t="shared" si="2"/>
        <v>0</v>
      </c>
      <c r="N29" s="25">
        <f t="shared" si="3"/>
        <v>0.65753424657534243</v>
      </c>
      <c r="O29" s="23">
        <v>0</v>
      </c>
    </row>
    <row r="30" spans="1:15" x14ac:dyDescent="0.35">
      <c r="A30" s="22" t="s">
        <v>109</v>
      </c>
      <c r="B30" s="21">
        <v>13329</v>
      </c>
      <c r="C30" s="3">
        <v>0</v>
      </c>
      <c r="D30" s="3">
        <v>5</v>
      </c>
      <c r="E30" s="3" t="s">
        <v>73</v>
      </c>
      <c r="F30" s="23">
        <f>1/'kalkulační list'!$B$7/'kalkulační list'!$B$8</f>
        <v>7.407407407407407E-2</v>
      </c>
      <c r="G30" s="24">
        <v>0</v>
      </c>
      <c r="H30" s="23">
        <f t="shared" si="5"/>
        <v>4</v>
      </c>
      <c r="I30" s="23">
        <v>365</v>
      </c>
      <c r="J30" s="23">
        <f t="shared" si="0"/>
        <v>7300</v>
      </c>
      <c r="K30" s="27">
        <v>10</v>
      </c>
      <c r="L30" s="23">
        <f t="shared" si="1"/>
        <v>43800</v>
      </c>
      <c r="M30" s="25">
        <f t="shared" si="2"/>
        <v>0</v>
      </c>
      <c r="N30" s="25">
        <f t="shared" si="3"/>
        <v>2.2541856925418567E-2</v>
      </c>
      <c r="O30" s="23">
        <v>0</v>
      </c>
    </row>
    <row r="31" spans="1:15" x14ac:dyDescent="0.35">
      <c r="A31" s="22" t="s">
        <v>110</v>
      </c>
      <c r="B31" s="21">
        <v>3000</v>
      </c>
      <c r="C31" s="3">
        <v>0</v>
      </c>
      <c r="D31" s="3">
        <v>5</v>
      </c>
      <c r="E31" s="3" t="s">
        <v>73</v>
      </c>
      <c r="F31" s="23">
        <f>1/'kalkulační list'!$B$7/'kalkulační list'!$B$8</f>
        <v>7.407407407407407E-2</v>
      </c>
      <c r="G31" s="24">
        <v>0</v>
      </c>
      <c r="H31" s="23">
        <f t="shared" si="5"/>
        <v>4</v>
      </c>
      <c r="I31" s="23">
        <v>365</v>
      </c>
      <c r="J31" s="23">
        <f t="shared" si="0"/>
        <v>7300</v>
      </c>
      <c r="K31" s="27">
        <v>1</v>
      </c>
      <c r="L31" s="23">
        <f t="shared" si="1"/>
        <v>438000</v>
      </c>
      <c r="M31" s="25">
        <f t="shared" si="2"/>
        <v>0</v>
      </c>
      <c r="N31" s="25">
        <f t="shared" si="3"/>
        <v>5.0735667174023336E-4</v>
      </c>
      <c r="O31" s="23">
        <v>0</v>
      </c>
    </row>
    <row r="32" spans="1:15" x14ac:dyDescent="0.35">
      <c r="A32" s="22" t="s">
        <v>111</v>
      </c>
      <c r="B32" s="21">
        <v>5000</v>
      </c>
      <c r="C32" s="3">
        <v>0</v>
      </c>
      <c r="D32" s="3">
        <v>5</v>
      </c>
      <c r="E32" s="3" t="s">
        <v>73</v>
      </c>
      <c r="F32" s="23">
        <f>1/'kalkulační list'!$B$7/'kalkulační list'!$B$8</f>
        <v>7.407407407407407E-2</v>
      </c>
      <c r="G32" s="24">
        <v>500</v>
      </c>
      <c r="H32" s="23">
        <f t="shared" si="5"/>
        <v>4</v>
      </c>
      <c r="I32" s="23">
        <v>365</v>
      </c>
      <c r="J32" s="23">
        <f t="shared" si="0"/>
        <v>7300</v>
      </c>
      <c r="K32" s="27">
        <v>1</v>
      </c>
      <c r="L32" s="23">
        <f t="shared" si="1"/>
        <v>438000</v>
      </c>
      <c r="M32" s="25">
        <f t="shared" si="2"/>
        <v>5.7077625570776253E-3</v>
      </c>
      <c r="N32" s="25">
        <f t="shared" si="3"/>
        <v>8.4559445290038882E-4</v>
      </c>
      <c r="O32" s="23">
        <v>0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67B66-6899-45D4-ADF8-D7BF99214F60}">
  <dimension ref="A1:G15"/>
  <sheetViews>
    <sheetView workbookViewId="0"/>
  </sheetViews>
  <sheetFormatPr defaultRowHeight="14.5" x14ac:dyDescent="0.35"/>
  <cols>
    <col min="2" max="2" width="43" customWidth="1"/>
    <col min="4" max="4" width="11" customWidth="1"/>
    <col min="5" max="6" width="27.26953125" bestFit="1" customWidth="1"/>
  </cols>
  <sheetData>
    <row r="1" spans="1:7" x14ac:dyDescent="0.35">
      <c r="A1" t="s">
        <v>27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</row>
    <row r="2" spans="1:7" x14ac:dyDescent="0.35">
      <c r="A2" t="s">
        <v>34</v>
      </c>
      <c r="B2" t="s">
        <v>35</v>
      </c>
      <c r="C2">
        <v>1.08</v>
      </c>
      <c r="D2">
        <f>ROUND(E2*C2,4)</f>
        <v>3.3877000000000002</v>
      </c>
      <c r="E2">
        <v>3.1368</v>
      </c>
      <c r="F2">
        <f>ROUND(E2*1.024,4)</f>
        <v>3.2121</v>
      </c>
      <c r="G2">
        <f>ROUND(F2*C2,4)</f>
        <v>3.4691000000000001</v>
      </c>
    </row>
    <row r="3" spans="1:7" x14ac:dyDescent="0.35">
      <c r="A3" t="s">
        <v>36</v>
      </c>
      <c r="B3" t="s">
        <v>37</v>
      </c>
      <c r="C3">
        <v>1.8</v>
      </c>
      <c r="D3">
        <f t="shared" ref="D3:D15" si="0">ROUND(E3*C3,4)</f>
        <v>5.6462000000000003</v>
      </c>
      <c r="E3">
        <v>3.1368</v>
      </c>
      <c r="F3">
        <f t="shared" ref="F3:F15" si="1">ROUND(E3*1.024,4)</f>
        <v>3.2121</v>
      </c>
      <c r="G3">
        <f t="shared" ref="G3:G15" si="2">ROUND(F3*C3,4)</f>
        <v>5.7817999999999996</v>
      </c>
    </row>
    <row r="4" spans="1:7" x14ac:dyDescent="0.35">
      <c r="A4" t="s">
        <v>38</v>
      </c>
      <c r="B4" t="s">
        <v>39</v>
      </c>
      <c r="C4">
        <v>2.25</v>
      </c>
      <c r="D4">
        <f t="shared" si="0"/>
        <v>7.0578000000000003</v>
      </c>
      <c r="E4">
        <v>3.1368</v>
      </c>
      <c r="F4">
        <f t="shared" si="1"/>
        <v>3.2121</v>
      </c>
      <c r="G4">
        <f t="shared" si="2"/>
        <v>7.2271999999999998</v>
      </c>
    </row>
    <row r="5" spans="1:7" x14ac:dyDescent="0.35">
      <c r="A5" t="s">
        <v>40</v>
      </c>
      <c r="B5" t="s">
        <v>41</v>
      </c>
      <c r="C5">
        <v>1</v>
      </c>
      <c r="D5">
        <f t="shared" si="0"/>
        <v>3.9009999999999998</v>
      </c>
      <c r="E5">
        <v>3.9009999999999998</v>
      </c>
      <c r="F5">
        <f t="shared" si="1"/>
        <v>3.9946000000000002</v>
      </c>
      <c r="G5">
        <f t="shared" si="2"/>
        <v>3.9946000000000002</v>
      </c>
    </row>
    <row r="6" spans="1:7" x14ac:dyDescent="0.35">
      <c r="A6" t="s">
        <v>42</v>
      </c>
      <c r="B6" t="s">
        <v>43</v>
      </c>
      <c r="C6">
        <v>1</v>
      </c>
      <c r="D6">
        <f t="shared" si="0"/>
        <v>3.9009999999999998</v>
      </c>
      <c r="E6">
        <v>3.9009999999999998</v>
      </c>
      <c r="F6">
        <f t="shared" si="1"/>
        <v>3.9946000000000002</v>
      </c>
      <c r="G6">
        <f t="shared" si="2"/>
        <v>3.9946000000000002</v>
      </c>
    </row>
    <row r="7" spans="1:7" x14ac:dyDescent="0.35">
      <c r="A7" t="s">
        <v>13</v>
      </c>
      <c r="B7" t="s">
        <v>44</v>
      </c>
      <c r="C7">
        <v>2.5</v>
      </c>
      <c r="D7">
        <f t="shared" si="0"/>
        <v>9.7524999999999995</v>
      </c>
      <c r="E7">
        <v>3.9009999999999998</v>
      </c>
      <c r="F7">
        <f t="shared" si="1"/>
        <v>3.9946000000000002</v>
      </c>
      <c r="G7">
        <f t="shared" si="2"/>
        <v>9.9864999999999995</v>
      </c>
    </row>
    <row r="8" spans="1:7" x14ac:dyDescent="0.35">
      <c r="A8" t="s">
        <v>14</v>
      </c>
      <c r="B8" t="s">
        <v>45</v>
      </c>
      <c r="C8">
        <v>3.5</v>
      </c>
      <c r="D8">
        <f t="shared" si="0"/>
        <v>13.653499999999999</v>
      </c>
      <c r="E8">
        <v>3.9009999999999998</v>
      </c>
      <c r="F8">
        <f t="shared" si="1"/>
        <v>3.9946000000000002</v>
      </c>
      <c r="G8">
        <f t="shared" si="2"/>
        <v>13.9811</v>
      </c>
    </row>
    <row r="9" spans="1:7" x14ac:dyDescent="0.35">
      <c r="A9" t="s">
        <v>11</v>
      </c>
      <c r="B9" t="s">
        <v>46</v>
      </c>
      <c r="C9">
        <v>1</v>
      </c>
      <c r="D9">
        <f t="shared" si="0"/>
        <v>3.9009999999999998</v>
      </c>
      <c r="E9">
        <v>3.9009999999999998</v>
      </c>
      <c r="F9">
        <f t="shared" si="1"/>
        <v>3.9946000000000002</v>
      </c>
      <c r="G9">
        <f t="shared" si="2"/>
        <v>3.9946000000000002</v>
      </c>
    </row>
    <row r="10" spans="1:7" x14ac:dyDescent="0.35">
      <c r="A10" t="s">
        <v>10</v>
      </c>
      <c r="B10" t="s">
        <v>47</v>
      </c>
      <c r="C10">
        <v>1.8</v>
      </c>
      <c r="D10">
        <f t="shared" si="0"/>
        <v>7.0217999999999998</v>
      </c>
      <c r="E10">
        <v>3.9009999999999998</v>
      </c>
      <c r="F10">
        <f t="shared" si="1"/>
        <v>3.9946000000000002</v>
      </c>
      <c r="G10">
        <f t="shared" si="2"/>
        <v>7.1902999999999997</v>
      </c>
    </row>
    <row r="11" spans="1:7" x14ac:dyDescent="0.35">
      <c r="A11" t="s">
        <v>9</v>
      </c>
      <c r="B11" t="s">
        <v>48</v>
      </c>
      <c r="C11">
        <v>3.5</v>
      </c>
      <c r="D11">
        <f t="shared" si="0"/>
        <v>13.653499999999999</v>
      </c>
      <c r="E11">
        <v>3.9009999999999998</v>
      </c>
      <c r="F11">
        <f t="shared" si="1"/>
        <v>3.9946000000000002</v>
      </c>
      <c r="G11">
        <f t="shared" si="2"/>
        <v>13.9811</v>
      </c>
    </row>
    <row r="12" spans="1:7" x14ac:dyDescent="0.35">
      <c r="A12" t="s">
        <v>18</v>
      </c>
      <c r="B12" t="s">
        <v>49</v>
      </c>
      <c r="C12">
        <v>1.08</v>
      </c>
      <c r="D12">
        <f t="shared" si="0"/>
        <v>2.5095999999999998</v>
      </c>
      <c r="E12">
        <v>2.3237000000000001</v>
      </c>
      <c r="F12">
        <f t="shared" si="1"/>
        <v>2.3795000000000002</v>
      </c>
      <c r="G12">
        <f t="shared" si="2"/>
        <v>2.5699000000000001</v>
      </c>
    </row>
    <row r="13" spans="1:7" x14ac:dyDescent="0.35">
      <c r="A13" t="s">
        <v>17</v>
      </c>
      <c r="B13" t="s">
        <v>50</v>
      </c>
      <c r="C13">
        <v>1.8</v>
      </c>
      <c r="D13">
        <f t="shared" si="0"/>
        <v>4.1826999999999996</v>
      </c>
      <c r="E13">
        <v>2.3237000000000001</v>
      </c>
      <c r="F13">
        <f t="shared" si="1"/>
        <v>2.3795000000000002</v>
      </c>
      <c r="G13">
        <f t="shared" si="2"/>
        <v>4.2831000000000001</v>
      </c>
    </row>
    <row r="14" spans="1:7" x14ac:dyDescent="0.35">
      <c r="A14" t="s">
        <v>51</v>
      </c>
      <c r="B14" t="s">
        <v>52</v>
      </c>
      <c r="C14">
        <v>2.25</v>
      </c>
      <c r="D14">
        <f t="shared" si="0"/>
        <v>5.2282999999999999</v>
      </c>
      <c r="E14">
        <v>2.3237000000000001</v>
      </c>
      <c r="F14">
        <f t="shared" si="1"/>
        <v>2.3795000000000002</v>
      </c>
      <c r="G14">
        <f t="shared" si="2"/>
        <v>5.3539000000000003</v>
      </c>
    </row>
    <row r="15" spans="1:7" x14ac:dyDescent="0.35">
      <c r="A15" t="s">
        <v>53</v>
      </c>
      <c r="B15" t="s">
        <v>54</v>
      </c>
      <c r="C15">
        <v>2.5</v>
      </c>
      <c r="D15">
        <f t="shared" si="0"/>
        <v>9.7524999999999995</v>
      </c>
      <c r="E15">
        <v>3.9009999999999998</v>
      </c>
      <c r="F15">
        <f t="shared" si="1"/>
        <v>3.9946000000000002</v>
      </c>
      <c r="G15">
        <f t="shared" si="2"/>
        <v>9.9864999999999995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kalkulační list</vt:lpstr>
      <vt:lpstr>material a leky</vt:lpstr>
      <vt:lpstr>přístroje</vt:lpstr>
      <vt:lpstr>nositele číselník</vt:lpstr>
    </vt:vector>
  </TitlesOfParts>
  <Company>MZCR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Žílová Pavlína, Mgr.</dc:creator>
  <cp:lastModifiedBy>Žílová Pavlína, Mgr.</cp:lastModifiedBy>
  <dcterms:created xsi:type="dcterms:W3CDTF">2025-05-21T06:38:13Z</dcterms:created>
  <dcterms:modified xsi:type="dcterms:W3CDTF">2025-08-29T10:48:37Z</dcterms:modified>
</cp:coreProperties>
</file>