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zsfps01.mzcr.cz\plochy$\MZUzilovap\OD_kalkulace\"/>
    </mc:Choice>
  </mc:AlternateContent>
  <xr:revisionPtr revIDLastSave="0" documentId="13_ncr:1_{14CD8522-C9BA-45D4-9C56-4C7661CED130}" xr6:coauthVersionLast="47" xr6:coauthVersionMax="47" xr10:uidLastSave="{00000000-0000-0000-0000-000000000000}"/>
  <bookViews>
    <workbookView xWindow="-18135" yWindow="0" windowWidth="18075" windowHeight="15600" xr2:uid="{28F74873-5F62-4340-BCD7-B5C1435D7FF2}"/>
  </bookViews>
  <sheets>
    <sheet name="kalkulacni list" sheetId="1" r:id="rId1"/>
    <sheet name="přístroje" sheetId="4" r:id="rId2"/>
    <sheet name="materiál" sheetId="5" r:id="rId3"/>
    <sheet name="léky" sheetId="6" r:id="rId4"/>
    <sheet name="nositele číselník" sheetId="2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G13" i="4"/>
  <c r="G27" i="4"/>
  <c r="G26" i="4"/>
  <c r="G18" i="4"/>
  <c r="G12" i="4"/>
  <c r="G10" i="4" l="1"/>
  <c r="G28" i="4"/>
  <c r="G22" i="4"/>
  <c r="G19" i="4"/>
  <c r="G17" i="4"/>
  <c r="G8" i="4"/>
  <c r="G6" i="4"/>
  <c r="G7" i="4"/>
  <c r="G5" i="4"/>
  <c r="G21" i="4"/>
  <c r="G20" i="4"/>
  <c r="G16" i="4"/>
  <c r="G15" i="4"/>
  <c r="G4" i="4"/>
  <c r="H26" i="4" l="1"/>
  <c r="J26" i="4" s="1"/>
  <c r="L26" i="4" s="1"/>
  <c r="M26" i="4" s="1"/>
  <c r="F26" i="4"/>
  <c r="F27" i="4"/>
  <c r="H27" i="4"/>
  <c r="J27" i="4" s="1"/>
  <c r="L27" i="4" s="1"/>
  <c r="G9" i="4"/>
  <c r="G11" i="4"/>
  <c r="B25" i="1"/>
  <c r="H20" i="4"/>
  <c r="H17" i="4"/>
  <c r="H11" i="4"/>
  <c r="H6" i="4"/>
  <c r="G31" i="4"/>
  <c r="G30" i="4"/>
  <c r="G29" i="4"/>
  <c r="G25" i="4"/>
  <c r="G24" i="4"/>
  <c r="G23" i="4"/>
  <c r="G3" i="4"/>
  <c r="G2" i="4"/>
  <c r="D19" i="1"/>
  <c r="D18" i="1"/>
  <c r="D17" i="1"/>
  <c r="D15" i="1"/>
  <c r="D13" i="1"/>
  <c r="D12" i="1"/>
  <c r="F21" i="4"/>
  <c r="F20" i="4"/>
  <c r="F19" i="4"/>
  <c r="F17" i="4"/>
  <c r="F16" i="4"/>
  <c r="F14" i="4"/>
  <c r="F13" i="4"/>
  <c r="F12" i="4"/>
  <c r="N26" i="4" l="1"/>
  <c r="O26" i="4" s="1"/>
  <c r="M27" i="4"/>
  <c r="N27" i="4"/>
  <c r="D16" i="1"/>
  <c r="H8" i="4"/>
  <c r="H9" i="4"/>
  <c r="H15" i="4"/>
  <c r="H18" i="4"/>
  <c r="H19" i="4"/>
  <c r="H21" i="4"/>
  <c r="H22" i="4"/>
  <c r="H23" i="4"/>
  <c r="H24" i="4"/>
  <c r="H25" i="4"/>
  <c r="H28" i="4"/>
  <c r="H29" i="4"/>
  <c r="H30" i="4"/>
  <c r="H31" i="4"/>
  <c r="O27" i="4" l="1"/>
  <c r="J2" i="4"/>
  <c r="E14" i="1" l="1"/>
  <c r="E13" i="1"/>
  <c r="E15" i="1"/>
  <c r="E16" i="1"/>
  <c r="E17" i="1"/>
  <c r="E19" i="1"/>
  <c r="E12" i="1"/>
  <c r="E18" i="1"/>
  <c r="B23" i="1"/>
  <c r="J3" i="4" l="1"/>
  <c r="L3" i="4" s="1"/>
  <c r="N3" i="4" s="1"/>
  <c r="J4" i="4"/>
  <c r="L4" i="4" s="1"/>
  <c r="N4" i="4" s="1"/>
  <c r="J5" i="4"/>
  <c r="L5" i="4" s="1"/>
  <c r="J6" i="4"/>
  <c r="L6" i="4" s="1"/>
  <c r="J7" i="4"/>
  <c r="L7" i="4" s="1"/>
  <c r="J8" i="4"/>
  <c r="L8" i="4" s="1"/>
  <c r="J10" i="4"/>
  <c r="L10" i="4" s="1"/>
  <c r="J11" i="4"/>
  <c r="L11" i="4" s="1"/>
  <c r="N11" i="4" s="1"/>
  <c r="J12" i="4"/>
  <c r="L12" i="4" s="1"/>
  <c r="J13" i="4"/>
  <c r="L13" i="4" s="1"/>
  <c r="J15" i="4"/>
  <c r="L15" i="4" s="1"/>
  <c r="J16" i="4"/>
  <c r="L16" i="4" s="1"/>
  <c r="N16" i="4" s="1"/>
  <c r="J17" i="4"/>
  <c r="L17" i="4" s="1"/>
  <c r="N17" i="4" s="1"/>
  <c r="J18" i="4"/>
  <c r="L18" i="4" s="1"/>
  <c r="J19" i="4"/>
  <c r="L19" i="4" s="1"/>
  <c r="J20" i="4"/>
  <c r="L20" i="4" s="1"/>
  <c r="N20" i="4" s="1"/>
  <c r="J21" i="4"/>
  <c r="L21" i="4" s="1"/>
  <c r="N21" i="4" s="1"/>
  <c r="J22" i="4"/>
  <c r="J24" i="4"/>
  <c r="L24" i="4" s="1"/>
  <c r="J25" i="4"/>
  <c r="L25" i="4" s="1"/>
  <c r="J28" i="4"/>
  <c r="L28" i="4" s="1"/>
  <c r="J29" i="4"/>
  <c r="L29" i="4" s="1"/>
  <c r="J31" i="4"/>
  <c r="L31" i="4" s="1"/>
  <c r="L2" i="4"/>
  <c r="N2" i="4" s="1"/>
  <c r="J14" i="4"/>
  <c r="L14" i="4" s="1"/>
  <c r="J30" i="4"/>
  <c r="L30" i="4" s="1"/>
  <c r="F31" i="4"/>
  <c r="F30" i="4"/>
  <c r="F29" i="4"/>
  <c r="F28" i="4"/>
  <c r="F25" i="4"/>
  <c r="F24" i="4"/>
  <c r="F23" i="4"/>
  <c r="F22" i="4"/>
  <c r="F18" i="4"/>
  <c r="F15" i="4"/>
  <c r="F10" i="4"/>
  <c r="F9" i="4"/>
  <c r="F8" i="4"/>
  <c r="F7" i="4"/>
  <c r="F6" i="4"/>
  <c r="F5" i="4"/>
  <c r="J9" i="4"/>
  <c r="L9" i="4" s="1"/>
  <c r="J23" i="4"/>
  <c r="L23" i="4" s="1"/>
  <c r="F13" i="1"/>
  <c r="F14" i="1"/>
  <c r="F15" i="1"/>
  <c r="F16" i="1"/>
  <c r="F17" i="1"/>
  <c r="F18" i="1"/>
  <c r="F19" i="1"/>
  <c r="F12" i="1"/>
  <c r="N14" i="4" l="1"/>
  <c r="N13" i="4"/>
  <c r="N12" i="4"/>
  <c r="N7" i="4"/>
  <c r="L22" i="4"/>
  <c r="M22" i="4" s="1"/>
  <c r="N19" i="4"/>
  <c r="N29" i="4"/>
  <c r="N6" i="4"/>
  <c r="N5" i="4"/>
  <c r="N9" i="4"/>
  <c r="N28" i="4"/>
  <c r="N30" i="4"/>
  <c r="N10" i="4"/>
  <c r="N31" i="4"/>
  <c r="N23" i="4"/>
  <c r="N8" i="4"/>
  <c r="N24" i="4"/>
  <c r="N15" i="4"/>
  <c r="N25" i="4"/>
  <c r="N18" i="4"/>
  <c r="M18" i="4"/>
  <c r="M2" i="4"/>
  <c r="M31" i="4"/>
  <c r="M30" i="4"/>
  <c r="M25" i="4"/>
  <c r="M23" i="4"/>
  <c r="M19" i="4"/>
  <c r="M11" i="4"/>
  <c r="M10" i="4"/>
  <c r="M8" i="4"/>
  <c r="M6" i="4"/>
  <c r="M16" i="4"/>
  <c r="M12" i="4"/>
  <c r="M20" i="4"/>
  <c r="M14" i="4"/>
  <c r="M17" i="4"/>
  <c r="M13" i="4"/>
  <c r="M4" i="4"/>
  <c r="M5" i="4"/>
  <c r="M28" i="4"/>
  <c r="M3" i="4"/>
  <c r="M15" i="4"/>
  <c r="F15" i="2"/>
  <c r="G15" i="2" s="1"/>
  <c r="D15" i="2"/>
  <c r="F14" i="2"/>
  <c r="G14" i="2" s="1"/>
  <c r="H17" i="1" s="1"/>
  <c r="D14" i="2"/>
  <c r="F13" i="2"/>
  <c r="G13" i="2" s="1"/>
  <c r="H18" i="1" s="1"/>
  <c r="D13" i="2"/>
  <c r="F12" i="2"/>
  <c r="G12" i="2" s="1"/>
  <c r="H19" i="1" s="1"/>
  <c r="D12" i="2"/>
  <c r="F11" i="2"/>
  <c r="G11" i="2" s="1"/>
  <c r="D11" i="2"/>
  <c r="F10" i="2"/>
  <c r="G10" i="2" s="1"/>
  <c r="H13" i="1" s="1"/>
  <c r="D10" i="2"/>
  <c r="F9" i="2"/>
  <c r="G9" i="2" s="1"/>
  <c r="D9" i="2"/>
  <c r="G8" i="2"/>
  <c r="H16" i="1" s="1"/>
  <c r="F8" i="2"/>
  <c r="D8" i="2"/>
  <c r="F7" i="2"/>
  <c r="G7" i="2" s="1"/>
  <c r="H15" i="1" s="1"/>
  <c r="D7" i="2"/>
  <c r="F6" i="2"/>
  <c r="G6" i="2" s="1"/>
  <c r="D6" i="2"/>
  <c r="F5" i="2"/>
  <c r="G5" i="2" s="1"/>
  <c r="D5" i="2"/>
  <c r="F4" i="2"/>
  <c r="G4" i="2" s="1"/>
  <c r="D4" i="2"/>
  <c r="F3" i="2"/>
  <c r="G3" i="2" s="1"/>
  <c r="D3" i="2"/>
  <c r="F2" i="2"/>
  <c r="G2" i="2" s="1"/>
  <c r="D2" i="2"/>
  <c r="H12" i="1" l="1"/>
  <c r="H14" i="1"/>
  <c r="N22" i="4"/>
  <c r="O22" i="4" s="1"/>
  <c r="M9" i="4"/>
  <c r="O9" i="4" s="1"/>
  <c r="M24" i="4"/>
  <c r="O24" i="4" s="1"/>
  <c r="O18" i="4"/>
  <c r="O4" i="4"/>
  <c r="O25" i="4"/>
  <c r="M21" i="4"/>
  <c r="O21" i="4" s="1"/>
  <c r="O11" i="4"/>
  <c r="O3" i="4"/>
  <c r="O30" i="4"/>
  <c r="O19" i="4"/>
  <c r="O12" i="4"/>
  <c r="O6" i="4"/>
  <c r="O14" i="4"/>
  <c r="O2" i="4"/>
  <c r="O31" i="4"/>
  <c r="M29" i="4"/>
  <c r="O29" i="4" s="1"/>
  <c r="O28" i="4"/>
  <c r="O23" i="4"/>
  <c r="O10" i="4"/>
  <c r="M7" i="4"/>
  <c r="O7" i="4" s="1"/>
  <c r="O16" i="4"/>
  <c r="O15" i="4"/>
  <c r="O5" i="4"/>
  <c r="O20" i="4"/>
  <c r="O13" i="4"/>
  <c r="O17" i="4"/>
  <c r="B10" i="1" l="1"/>
  <c r="B27" i="1"/>
  <c r="B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tc={A8696A36-B870-4B5D-BA70-2AD140E36837}</author>
  </authors>
  <commentList>
    <comment ref="B29" authorId="0" shapeId="0" xr:uid="{A8696A36-B870-4B5D-BA70-2AD140E3683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tc={42DF53DF-0423-4716-9127-6BF8313D3783}</author>
    <author>Markéta Brabcová</author>
    <author>tc={9D309211-259D-4681-97EC-9226D7EABCB5}</author>
    <author>tc={D14642BB-FC5E-4EDB-84E8-73460D732E8C}</author>
    <author>Sklenář Martin</author>
    <author>tc={B50E138B-77F5-4E81-9E74-68E8EBC77D1A}</author>
    <author>tc={59FBC60F-A6C2-4220-AB88-B211AB840DA6}</author>
    <author>tc={5223066B-80B6-48D2-83C4-093150914B6B}</author>
    <author>tc={AE277813-A5B2-483F-B35A-D0E6B5F9FFA7}</author>
    <author>tc={FD713C98-762B-40F7-9125-4453A0987D5C}</author>
    <author>tc={918F77C6-5081-4CF3-9F99-1B40B50EA3DF}</author>
  </authors>
  <commentList>
    <comment ref="H1" authorId="0" shapeId="0" xr:uid="{42DF53DF-0423-4716-9127-6BF8313D3783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4 hodiny denně při ceně přístroje -K- do 1 milionu Kč
6 hodiny denně při ceně přístroje -K- od 1 do 5 milionů Kč
12 hodin denně při ceně přístroje -K- 5 milionů Kč a více
</t>
      </text>
    </comment>
    <comment ref="B2" authorId="1" shapeId="0" xr:uid="{19AB4270-B589-40FD-8A89-59E9A700CFE9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 91. tis</t>
        </r>
      </text>
    </comment>
    <comment ref="B3" authorId="1" shapeId="0" xr:uid="{523DDFEA-96CF-4009-8535-3EBE333CACE9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30 tis</t>
        </r>
      </text>
    </comment>
    <comment ref="B4" authorId="1" shapeId="0" xr:uid="{CC2EA01D-AA34-40B8-933F-58E41D5DE911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u NIP není</t>
        </r>
      </text>
    </comment>
    <comment ref="B5" authorId="1" shapeId="0" xr:uid="{CF26628A-5691-447C-9BD8-C4270B631716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B6" authorId="1" shapeId="0" xr:uid="{6B235F58-B4FC-4512-9D69-C0F2BE8B6847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B7" authorId="1" shapeId="0" xr:uid="{F2FB776B-434E-477C-8A50-4D5A335D82E6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A8" authorId="2" shapeId="0" xr:uid="{9D309211-259D-4681-97EC-9226D7EABCB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Kalkulováno s nulovou hodnotou - zahrnuto v režii</t>
      </text>
    </comment>
    <comment ref="B8" authorId="1" shapeId="0" xr:uid="{13E25E28-265A-47F4-99F1-99F141140170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101 tis</t>
        </r>
      </text>
    </comment>
    <comment ref="O8" authorId="3" shapeId="0" xr:uid="{D14642BB-FC5E-4EDB-84E8-73460D732E8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Kalkulováno s nulovou hodnotou - zahrnuto v režii</t>
      </text>
    </comment>
    <comment ref="B9" authorId="1" shapeId="0" xr:uid="{6CCFCFF8-9D2D-42B0-AED7-172ACE971907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u OD NIP50 tis</t>
        </r>
      </text>
    </comment>
    <comment ref="B10" authorId="1" shapeId="0" xr:uid="{5C53FAC9-5DE6-49CC-87B4-F7EE2ECF87F3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u OD NIP 100tis.</t>
        </r>
      </text>
    </comment>
    <comment ref="B11" authorId="1" shapeId="0" xr:uid="{EF24E653-B8F6-4466-905D-C40516A0616E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30 tis.</t>
        </r>
      </text>
    </comment>
    <comment ref="A12" authorId="4" shapeId="0" xr:uid="{77B38887-8BD3-45BE-BE2C-18758D135530}">
      <text>
        <r>
          <rPr>
            <sz val="9"/>
            <color indexed="81"/>
            <rFont val="Tahoma"/>
            <family val="2"/>
            <charset val="238"/>
          </rPr>
          <t xml:space="preserve">
OPROTI DOSPĚLÉMU MUSÍ MÍT tyto ventilátory i PEDIATRICKÉ MODY a moduly na kontrolu a generování jiných objemů a tlaků než je vhodné u dospělých</t>
        </r>
      </text>
    </comment>
    <comment ref="B12" authorId="1" shapeId="0" xr:uid="{4A0E5EC1-121F-4D05-9261-188619B8DFCB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380 tis.</t>
        </r>
      </text>
    </comment>
    <comment ref="D12" authorId="5" shapeId="0" xr:uid="{B50E138B-77F5-4E81-9E74-68E8EBC77D1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Zcela běžná účetní amortizace - rychlý technologický pokrok v medicíně</t>
      </text>
    </comment>
    <comment ref="G12" authorId="6" shapeId="0" xr:uid="{59FBC60F-A6C2-4220-AB88-B211AB840DA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Full risk servise smlouva - all inclusive - pravidelné prohlídky, roční revize, zahrnutí náhradních dílů, výměna náhradních dílů, okamžitý zásahový servis 24/7, loan unit - půjčení nového ventilátoru v případě potřeby</t>
      </text>
    </comment>
    <comment ref="A13" authorId="1" shapeId="0" xr:uid="{88A7F883-6CF9-4CD6-BB8F-724DC67EE17D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u NIP není
Speciální ventilátory pro malé děti a novorozence, který musí mít speciální moduly a módy pro kontrolu, úpravu a měření podávaných objemů a generovaných tlaků pro kojence, novorozence a malé děti. </t>
        </r>
      </text>
    </comment>
    <comment ref="B13" authorId="1" shapeId="0" xr:uid="{82ADB636-95DB-4531-AA53-811C3E751D6B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nedoložena</t>
        </r>
      </text>
    </comment>
    <comment ref="D13" authorId="7" shapeId="0" xr:uid="{5223066B-80B6-48D2-83C4-093150914B6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Zcela běžná účetní amortizace - rychlý technologický pokrok v medicíně</t>
      </text>
    </comment>
    <comment ref="G13" authorId="8" shapeId="0" xr:uid="{AE277813-A5B2-483F-B35A-D0E6B5F9FFA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Full risk servise smlouva - all inclusive - pravidelné prohlídky, roční revize, zahrnutí náhradních dílů, výměna náhradních dílů, okamžitý zásahový servis 24/7, loan unit - půjčení nového ventilátoru v případě potřeby</t>
      </text>
    </comment>
    <comment ref="A14" authorId="1" shapeId="0" xr:uid="{7A7492A2-B044-426F-9C89-732F34783FC8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u NIP není </t>
        </r>
      </text>
    </comment>
    <comment ref="D14" authorId="9" shapeId="0" xr:uid="{FD713C98-762B-40F7-9125-4453A0987D5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Zcela běžná účetní amortizace - rychlý technologický pokrok v medicíně</t>
      </text>
    </comment>
    <comment ref="G14" authorId="10" shapeId="0" xr:uid="{918F77C6-5081-4CF3-9F99-1B40B50EA3D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Full risk servise smlouva - all inclusive - pravidelné prohlídky, roční revize, zahrnutí náhradních dílů, výměna náhradních dílů, okamžitý zásahový servis 24/7, loan unit - půjčení nového ventilátoru v případě potřeby</t>
      </text>
    </comment>
    <comment ref="B15" authorId="1" shapeId="0" xr:uid="{2C839549-D3B6-4364-8219-DEB5456D0B5D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cena OD NIP 130 tis.</t>
        </r>
      </text>
    </comment>
    <comment ref="A18" authorId="1" shapeId="0" xr:uid="{0C108B8E-1E46-44B5-974E-8C8710A6D111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duplicita s řádkem 17
jsou nutné obě, při transportu využívána tato</t>
        </r>
      </text>
    </comment>
    <comment ref="E20" authorId="1" shapeId="0" xr:uid="{90943F98-B591-446A-B0BF-99F04F251F6B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u NIP +xna lůžko</t>
        </r>
      </text>
    </comment>
    <comment ref="E21" authorId="1" shapeId="0" xr:uid="{DF9C0B86-3EA7-4ACF-894B-6155AFB57751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u NIP 1x na lůžko</t>
        </r>
      </text>
    </comment>
    <comment ref="A22" authorId="1" shapeId="0" xr:uid="{DD315033-1FA2-48ED-B290-187D45515CB8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A24" authorId="1" shapeId="0" xr:uid="{B5329AB0-96CC-4B3A-B871-DF09D8DC3188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A25" authorId="1" shapeId="0" xr:uid="{7319A08A-96BD-46D5-B6F7-2A99F6C1A562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  <comment ref="A28" authorId="1" shapeId="0" xr:uid="{E8126D3E-9077-448F-A4E2-7343D49DDA78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ceny pro RHB přístroje nedoloženy</t>
        </r>
      </text>
    </comment>
    <comment ref="A31" authorId="1" shapeId="0" xr:uid="{BA242FCB-35E8-44F2-B2EB-539F9E687633}">
      <text>
        <r>
          <rPr>
            <b/>
            <sz val="9"/>
            <color indexed="81"/>
            <rFont val="Tahoma"/>
            <family val="2"/>
            <charset val="238"/>
          </rPr>
          <t>Markéta Brabcová:</t>
        </r>
        <r>
          <rPr>
            <sz val="9"/>
            <color indexed="81"/>
            <rFont val="Tahoma"/>
            <family val="2"/>
            <charset val="238"/>
          </rPr>
          <t xml:space="preserve">
neuvádět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tc={39AE23C3-7E8E-4CA7-B056-33B0FC177A2C}</author>
    <author>tc={C8305AD1-E2AC-4854-8B7A-54CFD8079B29}</author>
    <author>tc={92B547FB-DAE7-4D79-81A7-7309FD2DDB8B}</author>
    <author>tc={C823E07A-1D66-4EA2-870C-3DF224023369}</author>
    <author>tc={B4F43548-272D-4B98-B4CD-CA123B202F9F}</author>
    <author>tc={1DCA65D6-9955-4260-9521-AD34E92E712C}</author>
    <author>tc={61737824-2517-408A-B117-31AEB2B9DD47}</author>
    <author>tc={30E53767-6D4B-4FB2-95A0-4C7411C3F2E8}</author>
    <author>tc={4C83BAEF-A755-403A-A203-93A9320F9915}</author>
    <author>tc={A4099EBC-A332-4509-9859-E1FC1F429185}</author>
    <author>tc={2343E3EA-DB85-4852-96B7-8CC01D86AA07}</author>
    <author>tc={9A3E952F-4C84-4597-8103-05529E4E01C8}</author>
    <author>tc={0CE0212E-3E2C-47FF-9A08-DCE23A9D53C4}</author>
    <author>tc={3A8733D3-320A-4E31-9CD1-C8E0DCF50A71}</author>
  </authors>
  <commentList>
    <comment ref="A46" authorId="0" shapeId="0" xr:uid="{39AE23C3-7E8E-4CA7-B056-33B0FC177A2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48" authorId="1" shapeId="0" xr:uid="{C8305AD1-E2AC-4854-8B7A-54CFD8079B2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2" authorId="2" shapeId="0" xr:uid="{92B547FB-DAE7-4D79-81A7-7309FD2DDB8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6" authorId="3" shapeId="0" xr:uid="{C823E07A-1D66-4EA2-870C-3DF224023369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7" authorId="4" shapeId="0" xr:uid="{B4F43548-272D-4B98-B4CD-CA123B202F9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59" authorId="5" shapeId="0" xr:uid="{1DCA65D6-9955-4260-9521-AD34E92E712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0" authorId="6" shapeId="0" xr:uid="{61737824-2517-408A-B117-31AEB2B9DD4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1" authorId="7" shapeId="0" xr:uid="{30E53767-6D4B-4FB2-95A0-4C7411C3F2E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3" authorId="8" shapeId="0" xr:uid="{4C83BAEF-A755-403A-A203-93A9320F991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7" authorId="9" shapeId="0" xr:uid="{A4099EBC-A332-4509-9859-E1FC1F42918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8" authorId="10" shapeId="0" xr:uid="{2343E3EA-DB85-4852-96B7-8CC01D86AA0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69" authorId="11" shapeId="0" xr:uid="{9A3E952F-4C84-4597-8103-05529E4E01C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71" authorId="12" shapeId="0" xr:uid="{0CE0212E-3E2C-47FF-9A08-DCE23A9D53C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72" authorId="13" shapeId="0" xr:uid="{3A8733D3-320A-4E31-9CD1-C8E0DCF50A7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</commentList>
</comments>
</file>

<file path=xl/sharedStrings.xml><?xml version="1.0" encoding="utf-8"?>
<sst xmlns="http://schemas.openxmlformats.org/spreadsheetml/2006/main" count="270" uniqueCount="239">
  <si>
    <t>Název OD</t>
  </si>
  <si>
    <t>Ošetřovací den dlouhodobé intenzivní ošetřovatelské péče pro děti s ventilací (dDIOP s ventilací)</t>
  </si>
  <si>
    <t>Číslo OD</t>
  </si>
  <si>
    <t>Autorská odbornost</t>
  </si>
  <si>
    <t>Velikost stanice</t>
  </si>
  <si>
    <t>Obložnost</t>
  </si>
  <si>
    <t>funkce</t>
  </si>
  <si>
    <t>symbol</t>
  </si>
  <si>
    <t>mzdový index</t>
  </si>
  <si>
    <t>další požadavky</t>
  </si>
  <si>
    <t>L3</t>
  </si>
  <si>
    <t>L2</t>
  </si>
  <si>
    <t>L1</t>
  </si>
  <si>
    <t>nositelé výkonu:</t>
  </si>
  <si>
    <t>nezbyný čas v minutách</t>
  </si>
  <si>
    <t>K2</t>
  </si>
  <si>
    <t>K3</t>
  </si>
  <si>
    <t>fyzioterapeut</t>
  </si>
  <si>
    <t>klinický psycholog</t>
  </si>
  <si>
    <t>S2</t>
  </si>
  <si>
    <t>S1</t>
  </si>
  <si>
    <t>ZPBD</t>
  </si>
  <si>
    <t>ZPOD</t>
  </si>
  <si>
    <t>Sestra</t>
  </si>
  <si>
    <t>praktická sestra, ošetřovatel</t>
  </si>
  <si>
    <t>Léčivé přípravky:</t>
  </si>
  <si>
    <t>medicinální kyslík</t>
  </si>
  <si>
    <t>Materiál:</t>
  </si>
  <si>
    <t>Přístroje:</t>
  </si>
  <si>
    <t>1/lůž</t>
  </si>
  <si>
    <t>matrace antidekub</t>
  </si>
  <si>
    <t>med. rampa vč. koncových prvků</t>
  </si>
  <si>
    <t>vzduchotechnika (větrání, topení, chlazení, tlaky, filtry)</t>
  </si>
  <si>
    <t>1/odd.</t>
  </si>
  <si>
    <t>Režie</t>
  </si>
  <si>
    <t>Kod</t>
  </si>
  <si>
    <t>Popis</t>
  </si>
  <si>
    <t>Hodnota</t>
  </si>
  <si>
    <t>Vyse 2025</t>
  </si>
  <si>
    <t>základní minutová sazba 2025</t>
  </si>
  <si>
    <t>základní minutová sazba 2026</t>
  </si>
  <si>
    <t>výše 2026</t>
  </si>
  <si>
    <t>D1</t>
  </si>
  <si>
    <t>sestra domácí péče pod odborným dohledem (ZPOD)</t>
  </si>
  <si>
    <t>D2</t>
  </si>
  <si>
    <t>sestra domácí péče bez odborného dohledu (ZPBD)</t>
  </si>
  <si>
    <t>D3</t>
  </si>
  <si>
    <t>sestra domácí péče bez odborného dohledu se specializovanou způsobilostí v příslušném oboru (ZPBD s příslušnou specializací)</t>
  </si>
  <si>
    <t>J1</t>
  </si>
  <si>
    <t>Jiný VŠ pracovník ve zdravotnictví (JOP) s odbornou způsobilostí</t>
  </si>
  <si>
    <t>K1</t>
  </si>
  <si>
    <t xml:space="preserve">logoped, fyzioterapeut, zrakový terapeut (VNP), radiologický fyzik, odborný pracovník v laboratorních metodách a v přípravě LP, biomedicínský inženýr a odborný pracovník v ochraně a podpoře veřejného zdraví s odbornou způsobilostí </t>
  </si>
  <si>
    <t>logoped, fyzioterapeut, zrakový terapeut (VNP), radiologický fyzik, odborný pracovník v laboratorních metodách a v přípravě LP, biomedicínský inženýr a odborný pracovník v ochraně a podpoře veřejného zdraví se specializovanou způsobilostí</t>
  </si>
  <si>
    <t>logoped, fyzioterapeut, zrakový terapeut (VNP) se zvláštní odbornou způsobilostí (certifikační kurzy)</t>
  </si>
  <si>
    <t>lékař, zubní lékař a farmaceut absolvent VŠ</t>
  </si>
  <si>
    <t>lékař, zubní lékař a farmaceut po absolvování základního kmene (dle vyhl. 185/2009)</t>
  </si>
  <si>
    <t>lékař, zubní lékař a farmaceut se specializovanou způsobilostí</t>
  </si>
  <si>
    <t>NLZP pod odborným dohledem nebo přímým vedením (ZPOD)</t>
  </si>
  <si>
    <t>NLZP bez odborného dohledu (ZPBD)</t>
  </si>
  <si>
    <t>S3</t>
  </si>
  <si>
    <t>NLZP bez odborného dohledu se specializovanou způsobilostí nebo zvláštní odbornou způsobilostí (ZPBD s příslušnou specializací)</t>
  </si>
  <si>
    <t>S4</t>
  </si>
  <si>
    <t>NLZP s VŠ vzděláním, spec. způsobilostí nebo zvláštní odbornou způsobilostí</t>
  </si>
  <si>
    <t>nazev</t>
  </si>
  <si>
    <t>dan</t>
  </si>
  <si>
    <t>cena K</t>
  </si>
  <si>
    <t>životnost O</t>
  </si>
  <si>
    <t>Náklady na údržbu za rok S</t>
  </si>
  <si>
    <t>doba použití R</t>
  </si>
  <si>
    <t>Celková doba použití přístroje M=OxPxR</t>
  </si>
  <si>
    <t>náklady na specifickou údržbu J=SxO/L</t>
  </si>
  <si>
    <t>náklady na amortizaci I=K/L</t>
  </si>
  <si>
    <t>náklad na přístroj C=I+J</t>
  </si>
  <si>
    <t>Strava:</t>
  </si>
  <si>
    <t>Hodnota OD:</t>
  </si>
  <si>
    <t>záložní zdroje el.energie</t>
  </si>
  <si>
    <t>centrální rozvod med. plynů</t>
  </si>
  <si>
    <t>defibrilátor</t>
  </si>
  <si>
    <t>EKG</t>
  </si>
  <si>
    <t>monitorovací centrála</t>
  </si>
  <si>
    <t>enterální pumpa</t>
  </si>
  <si>
    <t>zvlhčovač k ventilátoru</t>
  </si>
  <si>
    <t>ventilátor transportní</t>
  </si>
  <si>
    <t>monitor vitálních fcí</t>
  </si>
  <si>
    <t>odsávačka (není potřeba je li centr.rozvod vakua)</t>
  </si>
  <si>
    <t>Mobilní odsávačka</t>
  </si>
  <si>
    <t>nebulizátor</t>
  </si>
  <si>
    <t>infúzní pumpa</t>
  </si>
  <si>
    <t>dávkovač stříkačkový</t>
  </si>
  <si>
    <t>resuscitační vozík/batoh</t>
  </si>
  <si>
    <t>oxymetr transportní</t>
  </si>
  <si>
    <t>lehátko transportní</t>
  </si>
  <si>
    <t>vertikalizační stojan</t>
  </si>
  <si>
    <t>RHB stůl</t>
  </si>
  <si>
    <t>zádržný systém pro přepravu dětí v sanitě (z vyhlášky o transportu dětí sanitou)</t>
  </si>
  <si>
    <t>lůžko resusc.</t>
  </si>
  <si>
    <t>počet použití přístroje L=M/N</t>
  </si>
  <si>
    <t>počet bodů</t>
  </si>
  <si>
    <t>počet dle vyhlášky č. 92/2012</t>
  </si>
  <si>
    <t>ARIP 50%</t>
  </si>
  <si>
    <t>CŽK</t>
  </si>
  <si>
    <t>Arteriální katetr</t>
  </si>
  <si>
    <t>Krytí arteriálního katetru s chlorhexidinem</t>
  </si>
  <si>
    <t>Krytí CŽK s chlorhexidinem</t>
  </si>
  <si>
    <t>Epicystostomie</t>
  </si>
  <si>
    <t xml:space="preserve">Tracheostomická kanyla </t>
  </si>
  <si>
    <t>Podložka pod TSK + úvaz</t>
  </si>
  <si>
    <t>Ventilační okruh + flow senzor</t>
  </si>
  <si>
    <t>Trach-Care</t>
  </si>
  <si>
    <t>Rampy</t>
  </si>
  <si>
    <t>Kohouty</t>
  </si>
  <si>
    <t>Infúzní sety</t>
  </si>
  <si>
    <t>Spojovací hadičky</t>
  </si>
  <si>
    <t>Bionektory venózní</t>
  </si>
  <si>
    <t>Bionektory arteriální</t>
  </si>
  <si>
    <t>Materiál k hodinové diuréze</t>
  </si>
  <si>
    <t>Stříkačky ke kontinuální medikaci</t>
  </si>
  <si>
    <t>Stříkačky a jehly různých velikostí dle potřeby k podávání a ředění léčiv</t>
  </si>
  <si>
    <t>Ředící a proplachovací roztoky</t>
  </si>
  <si>
    <t>Samolepicí elektrody</t>
  </si>
  <si>
    <t>Saturační čidla</t>
  </si>
  <si>
    <t>Odsávací cévky</t>
  </si>
  <si>
    <t>Hadičky a flovac</t>
  </si>
  <si>
    <t>Arteriální stříkačky a zkumavky</t>
  </si>
  <si>
    <t>Proplachová stříkačka Jannet</t>
  </si>
  <si>
    <t>Extra spike k roztokům</t>
  </si>
  <si>
    <t>Sterilní roušky</t>
  </si>
  <si>
    <t>Set k CŽK</t>
  </si>
  <si>
    <t>Set k arteriální kanylaci</t>
  </si>
  <si>
    <t>Operační jednorázové komplety</t>
  </si>
  <si>
    <t>Sterilní empíry</t>
  </si>
  <si>
    <t>Sterilní rukavice</t>
  </si>
  <si>
    <t>Nesterilní rukavice</t>
  </si>
  <si>
    <t>Obvazy</t>
  </si>
  <si>
    <t>Sterilní tampóny</t>
  </si>
  <si>
    <t>Filtr antibakteriální</t>
  </si>
  <si>
    <t>Filtr HME</t>
  </si>
  <si>
    <t>Filtr k odsávačce</t>
  </si>
  <si>
    <t>Rektální rourky</t>
  </si>
  <si>
    <t>Podložky</t>
  </si>
  <si>
    <t>Pleny</t>
  </si>
  <si>
    <t>Čistící pěny</t>
  </si>
  <si>
    <t>Pagavitové tampony</t>
  </si>
  <si>
    <t xml:space="preserve">Ústní cévky </t>
  </si>
  <si>
    <t>Spotřební materiál ke kašlacím asistentům - jednorázový</t>
  </si>
  <si>
    <t>Ústenky</t>
  </si>
  <si>
    <t>Empíry</t>
  </si>
  <si>
    <t>Dezinfekční roztoky na ruce</t>
  </si>
  <si>
    <t>Odstraňovač náplastí</t>
  </si>
  <si>
    <t>Desinfekce kůže</t>
  </si>
  <si>
    <t>Tranfúzní set</t>
  </si>
  <si>
    <t>Teplotní čidlo</t>
  </si>
  <si>
    <t>Enterální set</t>
  </si>
  <si>
    <t>Žínky</t>
  </si>
  <si>
    <t>Hygienické potřeby</t>
  </si>
  <si>
    <t>Jednorázové ručníky</t>
  </si>
  <si>
    <t>Ložní prádlo</t>
  </si>
  <si>
    <t>Dezinfekce na povrchy</t>
  </si>
  <si>
    <t>Dezinfekční ubrousky</t>
  </si>
  <si>
    <t>Vlhčené ubrousky</t>
  </si>
  <si>
    <t>Balená kojenecká voda</t>
  </si>
  <si>
    <t>Speciální zubní kartáčky na hygienty d.ú, jazyka s napojením na odsávací systém; ústní sprcha</t>
  </si>
  <si>
    <t>Sterilní tyčinky na čištění invazí</t>
  </si>
  <si>
    <t>Jednorázové nástroje</t>
  </si>
  <si>
    <t>Šicí materiál</t>
  </si>
  <si>
    <t>Identifikační náramek</t>
  </si>
  <si>
    <t>Box na ostrý infekční odpad</t>
  </si>
  <si>
    <t>Zkumavky a další materiál pro odběry biologického materiálu (moč, endosekret, hemo),…</t>
  </si>
  <si>
    <t>Močový katetr</t>
  </si>
  <si>
    <t>Operační čepice modrá</t>
  </si>
  <si>
    <t>Kompenzační a polohovací pomůcky, pomůcky na cvičení (drahé, nutné různé velikosti a druhy)</t>
  </si>
  <si>
    <t>Protetické pomůcky (např. dlaha k prevenci spasticity DK)</t>
  </si>
  <si>
    <t>Antibiotika</t>
  </si>
  <si>
    <t>Colomycin, Meronem, Targocid, Zinnat</t>
  </si>
  <si>
    <t>Antimykotika</t>
  </si>
  <si>
    <t>Vfend, Fluconazol</t>
  </si>
  <si>
    <t>Antivirotika</t>
  </si>
  <si>
    <t>Zovirax</t>
  </si>
  <si>
    <t>Analgosedace</t>
  </si>
  <si>
    <t>Midazolam, Sufenta kontinuálně</t>
  </si>
  <si>
    <t>Myorelaxace</t>
  </si>
  <si>
    <t>Tracrium kontinuálně</t>
  </si>
  <si>
    <t>Enterální výživa +doplňky</t>
  </si>
  <si>
    <t>Fresubin Fibre kontinuálně; Peptamen Junior, probiotika, prokinetika</t>
  </si>
  <si>
    <t xml:space="preserve">Parenterální výživa + doplňky </t>
  </si>
  <si>
    <t>Olimel N7E+Tracutil+Soluvit+Vitalipid kontinuálně; speciální vaky míchané na míru, protekce střeva</t>
  </si>
  <si>
    <t>Diuretika</t>
  </si>
  <si>
    <t>Furosemid kontinuálně</t>
  </si>
  <si>
    <t>Vazoaktivní léky</t>
  </si>
  <si>
    <t>Noradrenalin, Dopamin, Catapress kontinuálně</t>
  </si>
  <si>
    <t>Antiepileptika</t>
  </si>
  <si>
    <t>Keppra, Luminal, sirupy (&gt;1r)</t>
  </si>
  <si>
    <t xml:space="preserve">Infúzní roztoky+ionty </t>
  </si>
  <si>
    <t>G10, FR, NaCl, KCl kontinuálně</t>
  </si>
  <si>
    <t>Krevní deriváty</t>
  </si>
  <si>
    <t>Plazma, erymasa</t>
  </si>
  <si>
    <t>Antikoagulancia, LMWH</t>
  </si>
  <si>
    <t xml:space="preserve">Inhalační léky </t>
  </si>
  <si>
    <t>Seretide, Ventolin, Atrovent</t>
  </si>
  <si>
    <t>Oftalmologika</t>
  </si>
  <si>
    <t>O-Azulen, Recugel, Hylocomod, Systanegel, Syccaprotect, kapky, masti</t>
  </si>
  <si>
    <t>Lokální léky</t>
  </si>
  <si>
    <t>Hemagel, Sudocream, Pitogal, Skinsept Mucosa, Betadine roztok, Emolencia</t>
  </si>
  <si>
    <t>Ostatní léčiva</t>
  </si>
  <si>
    <r>
      <rPr>
        <b/>
        <sz val="9"/>
        <color theme="1"/>
        <rFont val="Calibri"/>
        <family val="2"/>
        <charset val="238"/>
        <scheme val="minor"/>
      </rPr>
      <t>Buscopan</t>
    </r>
    <r>
      <rPr>
        <sz val="9"/>
        <color theme="1"/>
        <rFont val="Calibri"/>
        <family val="2"/>
        <charset val="238"/>
        <scheme val="minor"/>
      </rPr>
      <t>,</t>
    </r>
    <r>
      <rPr>
        <b/>
        <sz val="9"/>
        <color theme="1"/>
        <rFont val="Calibri"/>
        <family val="2"/>
        <charset val="238"/>
        <scheme val="minor"/>
      </rPr>
      <t xml:space="preserve"> Baclofen</t>
    </r>
    <r>
      <rPr>
        <sz val="9"/>
        <color theme="1"/>
        <rFont val="Calibri"/>
        <family val="2"/>
        <charset val="238"/>
        <scheme val="minor"/>
      </rPr>
      <t>,</t>
    </r>
    <r>
      <rPr>
        <b/>
        <sz val="9"/>
        <color theme="1"/>
        <rFont val="Calibri"/>
        <family val="2"/>
        <charset val="238"/>
        <scheme val="minor"/>
      </rPr>
      <t xml:space="preserve"> Letrox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Hydrochlorothiazid</t>
    </r>
    <r>
      <rPr>
        <sz val="9"/>
        <color theme="1"/>
        <rFont val="Calibri"/>
        <family val="2"/>
        <charset val="238"/>
        <scheme val="minor"/>
      </rPr>
      <t>, Kalium citricum,</t>
    </r>
    <r>
      <rPr>
        <b/>
        <sz val="9"/>
        <color theme="1"/>
        <rFont val="Calibri"/>
        <family val="2"/>
        <charset val="238"/>
        <scheme val="minor"/>
      </rPr>
      <t xml:space="preserve"> Verospiron</t>
    </r>
    <r>
      <rPr>
        <sz val="9"/>
        <color theme="1"/>
        <rFont val="Calibri"/>
        <family val="2"/>
        <charset val="238"/>
        <scheme val="minor"/>
      </rPr>
      <t xml:space="preserve">, Paracetamol Kabi, </t>
    </r>
    <r>
      <rPr>
        <b/>
        <sz val="9"/>
        <color theme="1"/>
        <rFont val="Calibri"/>
        <family val="2"/>
        <charset val="238"/>
        <scheme val="minor"/>
      </rPr>
      <t>Novalgin</t>
    </r>
    <r>
      <rPr>
        <sz val="9"/>
        <color theme="1"/>
        <rFont val="Calibri"/>
        <family val="2"/>
        <charset val="238"/>
        <scheme val="minor"/>
      </rPr>
      <t xml:space="preserve">, Morphin, </t>
    </r>
    <r>
      <rPr>
        <b/>
        <sz val="9"/>
        <color theme="1"/>
        <rFont val="Calibri"/>
        <family val="2"/>
        <charset val="238"/>
        <scheme val="minor"/>
      </rPr>
      <t>Analgin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Dormicum</t>
    </r>
    <r>
      <rPr>
        <sz val="9"/>
        <color theme="1"/>
        <rFont val="Calibri"/>
        <family val="2"/>
        <charset val="238"/>
        <scheme val="minor"/>
      </rPr>
      <t xml:space="preserve">, </t>
    </r>
    <r>
      <rPr>
        <b/>
        <sz val="9"/>
        <color theme="1"/>
        <rFont val="Calibri"/>
        <family val="2"/>
        <charset val="238"/>
        <scheme val="minor"/>
      </rPr>
      <t>Apaurin</t>
    </r>
    <r>
      <rPr>
        <sz val="9"/>
        <color theme="1"/>
        <rFont val="Calibri"/>
        <family val="2"/>
        <charset val="238"/>
        <scheme val="minor"/>
      </rPr>
      <t>, Chloralhydrát, Furosemid cps pro děti-IVLP, nosní kapky, roztoky pro dezinfekci d.ústní,…</t>
    </r>
  </si>
  <si>
    <t>přímo spotřebované léčivé přípravky a výživa a medicinální kyslík</t>
  </si>
  <si>
    <t>7/10lůž</t>
  </si>
  <si>
    <t>3/10lůž</t>
  </si>
  <si>
    <t>2/lůž</t>
  </si>
  <si>
    <t>4/lůž</t>
  </si>
  <si>
    <t>2/odd.</t>
  </si>
  <si>
    <t>1/odd</t>
  </si>
  <si>
    <t>2/odd</t>
  </si>
  <si>
    <t>přepočet na lůžko</t>
  </si>
  <si>
    <t>přepočet na obsazené lůžko</t>
  </si>
  <si>
    <t>počet úvazků dle vyhlášky</t>
  </si>
  <si>
    <t>1 na stanici a 0,1 na lůžko</t>
  </si>
  <si>
    <t>0,1 na lůžko</t>
  </si>
  <si>
    <t>ÚPS: Po-Pá od 15.30-7, SoNe</t>
  </si>
  <si>
    <t>intenzivista</t>
  </si>
  <si>
    <t>1 na lůžko</t>
  </si>
  <si>
    <t>pro rok 2026</t>
  </si>
  <si>
    <t>0,12 na lůžko</t>
  </si>
  <si>
    <t>0,2 na stanici</t>
  </si>
  <si>
    <t>Položka</t>
  </si>
  <si>
    <t>1 na stanici a 0,4 na lůžko</t>
  </si>
  <si>
    <t>1,2 na lůžko</t>
  </si>
  <si>
    <t>závěsný RHB systém (např. redcord)</t>
  </si>
  <si>
    <t>mobilní koupací vana/lůžko</t>
  </si>
  <si>
    <t>ULTRAZVUK + SONDY</t>
  </si>
  <si>
    <t>přístroj kašlací</t>
  </si>
  <si>
    <t>ventilátor NIP děti/novo</t>
  </si>
  <si>
    <t>ventilátory pro UPV / děti</t>
  </si>
  <si>
    <t>Tlakové převodníky</t>
  </si>
  <si>
    <t>čas výkonu * % použití přístroje</t>
  </si>
  <si>
    <t>00018</t>
  </si>
  <si>
    <t>název</t>
  </si>
  <si>
    <t>cena</t>
  </si>
  <si>
    <t>počet dnů v roce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</si>
</sst>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0" fontId="10" fillId="2" borderId="0" applyNumberFormat="0" applyBorder="0" applyAlignment="0" applyProtection="0"/>
    <xf numFmtId="0" fontId="11" fillId="0" borderId="0"/>
  </cellStyleXfs>
  <cellXfs count="28">
    <xf numFmtId="0" fontId="0" fillId="0" borderId="0" xfId="0"/>
    <xf numFmtId="9" fontId="0" fillId="0" borderId="0" xfId="1" applyFont="1"/>
    <xf numFmtId="49" fontId="0" fillId="0" borderId="0" xfId="0" applyNumberFormat="1"/>
    <xf numFmtId="0" fontId="1" fillId="0" borderId="0" xfId="3" applyAlignment="1">
      <alignment vertical="center"/>
    </xf>
    <xf numFmtId="2" fontId="4" fillId="0" borderId="0" xfId="3" applyNumberFormat="1" applyFont="1" applyAlignment="1">
      <alignment horizontal="right" vertical="center"/>
    </xf>
    <xf numFmtId="0" fontId="3" fillId="0" borderId="0" xfId="3" applyFont="1"/>
    <xf numFmtId="2" fontId="0" fillId="0" borderId="0" xfId="0" applyNumberFormat="1"/>
    <xf numFmtId="0" fontId="5" fillId="0" borderId="0" xfId="0" applyFont="1"/>
    <xf numFmtId="2" fontId="1" fillId="0" borderId="0" xfId="3" applyNumberFormat="1" applyAlignment="1">
      <alignment horizontal="right" vertical="center"/>
    </xf>
    <xf numFmtId="0" fontId="3" fillId="0" borderId="0" xfId="0" applyFont="1"/>
    <xf numFmtId="2" fontId="3" fillId="0" borderId="0" xfId="0" applyNumberFormat="1" applyFont="1"/>
    <xf numFmtId="1" fontId="5" fillId="0" borderId="0" xfId="0" applyNumberFormat="1" applyFont="1"/>
    <xf numFmtId="0" fontId="4" fillId="0" borderId="0" xfId="0" applyFont="1"/>
    <xf numFmtId="0" fontId="4" fillId="0" borderId="0" xfId="0" applyFont="1" applyFill="1"/>
    <xf numFmtId="3" fontId="4" fillId="0" borderId="0" xfId="0" applyNumberFormat="1" applyFont="1" applyFill="1"/>
    <xf numFmtId="0" fontId="0" fillId="0" borderId="0" xfId="0"/>
    <xf numFmtId="0" fontId="12" fillId="0" borderId="0" xfId="0" applyFont="1" applyFill="1"/>
    <xf numFmtId="2" fontId="4" fillId="0" borderId="0" xfId="3" applyNumberFormat="1" applyFont="1" applyFill="1" applyBorder="1"/>
    <xf numFmtId="2" fontId="4" fillId="0" borderId="0" xfId="3" applyNumberFormat="1" applyFont="1" applyFill="1" applyBorder="1" applyAlignment="1">
      <alignment vertical="center"/>
    </xf>
    <xf numFmtId="2" fontId="4" fillId="0" borderId="0" xfId="3" applyNumberFormat="1" applyFont="1" applyFill="1" applyBorder="1" applyAlignment="1">
      <alignment horizontal="right" vertical="center"/>
    </xf>
    <xf numFmtId="2" fontId="1" fillId="0" borderId="0" xfId="3" applyNumberFormat="1" applyFill="1" applyBorder="1" applyAlignment="1">
      <alignment vertical="center"/>
    </xf>
    <xf numFmtId="2" fontId="4" fillId="0" borderId="0" xfId="3" applyNumberFormat="1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2" fontId="1" fillId="0" borderId="0" xfId="3" applyNumberFormat="1" applyAlignment="1">
      <alignment horizontal="right" vertical="center"/>
    </xf>
    <xf numFmtId="0" fontId="3" fillId="0" borderId="0" xfId="0" applyFont="1" applyFill="1" applyBorder="1"/>
    <xf numFmtId="0" fontId="1" fillId="0" borderId="0" xfId="3" applyFill="1" applyBorder="1"/>
    <xf numFmtId="0" fontId="0" fillId="0" borderId="0" xfId="0" applyFill="1"/>
  </cellXfs>
  <cellStyles count="6">
    <cellStyle name="Excel Built-in Normal" xfId="2" xr:uid="{07CC6231-035D-4730-BFF4-A792C673037A}"/>
    <cellStyle name="Normální" xfId="0" builtinId="0"/>
    <cellStyle name="Normální 2" xfId="5" xr:uid="{3E89E5D4-5779-4339-9F5D-3CAD37C6B126}"/>
    <cellStyle name="Normální 4" xfId="3" xr:uid="{2D473309-14FB-430C-9D63-AB45E0B1715A}"/>
    <cellStyle name="Procenta" xfId="1" builtinId="5"/>
    <cellStyle name="Správně 2" xfId="4" xr:uid="{82DAE08A-0DE3-4C19-9CC2-DAA1BC8134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Žílová Pavlína, Mgr." id="{EC4D7577-E4BC-4681-8D1C-6E9DB2087C52}" userId="S::MZUzilovap@mznet.cz::66333940-9df6-413a-993d-968ed1f6640c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9" dT="2025-05-27T06:52:17.59" personId="{EC4D7577-E4BC-4681-8D1C-6E9DB2087C52}" id="{A8696A36-B870-4B5D-BA70-2AD140E36837}">
    <text>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5-05-22T08:38:04.68" personId="{EC4D7577-E4BC-4681-8D1C-6E9DB2087C52}" id="{42DF53DF-0423-4716-9127-6BF8313D3783}">
    <text xml:space="preserve">4 hodiny denně při ceně přístroje -K- do 1 milionu Kč
6 hodiny denně při ceně přístroje -K- od 1 do 5 milionů Kč
12 hodin denně při ceně přístroje -K- 5 milionů Kč a více
</text>
  </threadedComment>
  <threadedComment ref="A8" dT="2025-08-28T14:53:53.92" personId="{EC4D7577-E4BC-4681-8D1C-6E9DB2087C52}" id="{9D309211-259D-4681-97EC-9226D7EABCB5}">
    <text>Kalkulováno s nulovou hodnotou - zahrnuto v režii</text>
  </threadedComment>
  <threadedComment ref="O8" dT="2025-08-28T14:54:17.40" personId="{EC4D7577-E4BC-4681-8D1C-6E9DB2087C52}" id="{D14642BB-FC5E-4EDB-84E8-73460D732E8C}">
    <text>Kalkulováno s nulovou hodnotou - zahrnuto v režii</text>
  </threadedComment>
  <threadedComment ref="D12" dT="2025-08-29T11:06:27.84" personId="{EC4D7577-E4BC-4681-8D1C-6E9DB2087C52}" id="{B50E138B-77F5-4E81-9E74-68E8EBC77D1A}">
    <text>Zcela běžná účetní amortizace - rychlý technologický pokrok v medicíně</text>
  </threadedComment>
  <threadedComment ref="G12" dT="2025-08-29T11:03:36.41" personId="{EC4D7577-E4BC-4681-8D1C-6E9DB2087C52}" id="{59FBC60F-A6C2-4220-AB88-B211AB840DA6}">
    <text>Full risk servise smlouva - all inclusive - pravidelné prohlídky, roční revize, zahrnutí náhradních dílů, výměna náhradních dílů, okamžitý zásahový servis 24/7, loan unit - půjčení nového ventilátoru v případě potřeby</text>
  </threadedComment>
  <threadedComment ref="D13" dT="2025-08-29T11:06:27.84" personId="{EC4D7577-E4BC-4681-8D1C-6E9DB2087C52}" id="{5223066B-80B6-48D2-83C4-093150914B6B}">
    <text>Zcela běžná účetní amortizace - rychlý technologický pokrok v medicíně</text>
  </threadedComment>
  <threadedComment ref="G13" dT="2025-08-29T11:03:36.41" personId="{EC4D7577-E4BC-4681-8D1C-6E9DB2087C52}" id="{AE277813-A5B2-483F-B35A-D0E6B5F9FFA7}">
    <text>Full risk servise smlouva - all inclusive - pravidelné prohlídky, roční revize, zahrnutí náhradních dílů, výměna náhradních dílů, okamžitý zásahový servis 24/7, loan unit - půjčení nového ventilátoru v případě potřeby</text>
  </threadedComment>
  <threadedComment ref="D14" dT="2025-08-29T11:06:27.84" personId="{EC4D7577-E4BC-4681-8D1C-6E9DB2087C52}" id="{FD713C98-762B-40F7-9125-4453A0987D5C}">
    <text>Zcela běžná účetní amortizace - rychlý technologický pokrok v medicíně</text>
  </threadedComment>
  <threadedComment ref="G14" dT="2025-08-29T11:03:36.41" personId="{EC4D7577-E4BC-4681-8D1C-6E9DB2087C52}" id="{918F77C6-5081-4CF3-9F99-1B40B50EA3DF}">
    <text>Full risk servise smlouva - all inclusive - pravidelné prohlídky, roční revize, zahrnutí náhradních dílů, výměna náhradních dílů, okamžitý zásahový servis 24/7, loan unit - půjčení nového ventilátoru v případě potřeby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46" dT="2025-08-28T12:31:54.35" personId="{EC4D7577-E4BC-4681-8D1C-6E9DB2087C52}" id="{39AE23C3-7E8E-4CA7-B056-33B0FC177A2C}">
    <text>Zahrnuto v režii</text>
  </threadedComment>
  <threadedComment ref="A48" dT="2025-08-28T12:32:06.22" personId="{EC4D7577-E4BC-4681-8D1C-6E9DB2087C52}" id="{C8305AD1-E2AC-4854-8B7A-54CFD8079B29}">
    <text>Zahrnuto v režii</text>
  </threadedComment>
  <threadedComment ref="A52" dT="2025-08-28T12:32:15.69" personId="{EC4D7577-E4BC-4681-8D1C-6E9DB2087C52}" id="{92B547FB-DAE7-4D79-81A7-7309FD2DDB8B}">
    <text>Zahrnuto v režii</text>
  </threadedComment>
  <threadedComment ref="A56" dT="2025-08-28T12:34:29.05" personId="{EC4D7577-E4BC-4681-8D1C-6E9DB2087C52}" id="{C823E07A-1D66-4EA2-870C-3DF224023369}">
    <text>Zahrnuto v režii</text>
  </threadedComment>
  <threadedComment ref="A57" dT="2025-08-28T12:34:34.54" personId="{EC4D7577-E4BC-4681-8D1C-6E9DB2087C52}" id="{B4F43548-272D-4B98-B4CD-CA123B202F9F}">
    <text>Zahrnuto v režii</text>
  </threadedComment>
  <threadedComment ref="A59" dT="2025-08-28T12:32:26.53" personId="{EC4D7577-E4BC-4681-8D1C-6E9DB2087C52}" id="{1DCA65D6-9955-4260-9521-AD34E92E712C}">
    <text>Zahrnuto v režii</text>
  </threadedComment>
  <threadedComment ref="A60" dT="2025-08-28T12:32:36.01" personId="{EC4D7577-E4BC-4681-8D1C-6E9DB2087C52}" id="{61737824-2517-408A-B117-31AEB2B9DD47}">
    <text>Zahrnuto v režii</text>
  </threadedComment>
  <threadedComment ref="A61" dT="2025-08-28T12:32:46.45" personId="{EC4D7577-E4BC-4681-8D1C-6E9DB2087C52}" id="{30E53767-6D4B-4FB2-95A0-4C7411C3F2E8}">
    <text>Zahrnuto v režii</text>
  </threadedComment>
  <threadedComment ref="A63" dT="2025-08-28T12:32:55.85" personId="{EC4D7577-E4BC-4681-8D1C-6E9DB2087C52}" id="{4C83BAEF-A755-403A-A203-93A9320F9915}">
    <text>Zahrnuto v režii</text>
  </threadedComment>
  <threadedComment ref="A67" dT="2025-08-28T12:33:05.08" personId="{EC4D7577-E4BC-4681-8D1C-6E9DB2087C52}" id="{A4099EBC-A332-4509-9859-E1FC1F429185}">
    <text>Zahrnuto v režii</text>
  </threadedComment>
  <threadedComment ref="A68" dT="2025-08-28T12:33:13.80" personId="{EC4D7577-E4BC-4681-8D1C-6E9DB2087C52}" id="{2343E3EA-DB85-4852-96B7-8CC01D86AA07}">
    <text>Zahrnuto v režii</text>
  </threadedComment>
  <threadedComment ref="A69" dT="2025-08-28T12:33:25.62" personId="{EC4D7577-E4BC-4681-8D1C-6E9DB2087C52}" id="{9A3E952F-4C84-4597-8103-05529E4E01C8}">
    <text>Zahrnuto v režii</text>
  </threadedComment>
  <threadedComment ref="A71" dT="2025-08-28T12:33:36.09" personId="{EC4D7577-E4BC-4681-8D1C-6E9DB2087C52}" id="{0CE0212E-3E2C-47FF-9A08-DCE23A9D53C4}">
    <text>Zahrnuto v režii</text>
  </threadedComment>
  <threadedComment ref="A72" dT="2025-08-28T12:33:43.84" personId="{EC4D7577-E4BC-4681-8D1C-6E9DB2087C52}" id="{3A8733D3-320A-4E31-9CD1-C8E0DCF50A71}">
    <text>Zahrnuto v režii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1BB3-CF6E-4EAB-91EA-A7CE3E4B84BB}">
  <dimension ref="A1:H31"/>
  <sheetViews>
    <sheetView tabSelected="1" workbookViewId="0"/>
  </sheetViews>
  <sheetFormatPr defaultRowHeight="14.5" x14ac:dyDescent="0.35"/>
  <cols>
    <col min="1" max="1" width="24" customWidth="1"/>
    <col min="2" max="2" width="14.26953125" customWidth="1"/>
    <col min="3" max="4" width="27.26953125" customWidth="1"/>
    <col min="5" max="5" width="13.26953125" customWidth="1"/>
    <col min="6" max="6" width="26.7265625" customWidth="1"/>
    <col min="7" max="7" width="21.26953125" customWidth="1"/>
    <col min="8" max="8" width="20" customWidth="1"/>
  </cols>
  <sheetData>
    <row r="1" spans="1:8" x14ac:dyDescent="0.35">
      <c r="A1" t="s">
        <v>0</v>
      </c>
      <c r="B1" t="s">
        <v>1</v>
      </c>
    </row>
    <row r="3" spans="1:8" x14ac:dyDescent="0.35">
      <c r="A3" t="s">
        <v>2</v>
      </c>
      <c r="B3" s="2" t="s">
        <v>235</v>
      </c>
    </row>
    <row r="5" spans="1:8" x14ac:dyDescent="0.35">
      <c r="A5" t="s">
        <v>3</v>
      </c>
      <c r="B5">
        <v>301</v>
      </c>
    </row>
    <row r="7" spans="1:8" x14ac:dyDescent="0.35">
      <c r="A7" t="s">
        <v>4</v>
      </c>
      <c r="B7">
        <v>15</v>
      </c>
    </row>
    <row r="8" spans="1:8" x14ac:dyDescent="0.35">
      <c r="A8" t="s">
        <v>5</v>
      </c>
      <c r="B8" s="1">
        <v>0.9</v>
      </c>
      <c r="C8" s="1"/>
      <c r="D8" s="1"/>
    </row>
    <row r="10" spans="1:8" x14ac:dyDescent="0.35">
      <c r="A10" s="9" t="s">
        <v>13</v>
      </c>
      <c r="B10" s="9">
        <f>SUM(H12:H19)</f>
        <v>6692.0099999999993</v>
      </c>
    </row>
    <row r="11" spans="1:8" x14ac:dyDescent="0.35">
      <c r="A11" t="s">
        <v>6</v>
      </c>
      <c r="B11" t="s">
        <v>7</v>
      </c>
      <c r="C11" t="s">
        <v>215</v>
      </c>
      <c r="D11" t="s">
        <v>213</v>
      </c>
      <c r="E11" t="s">
        <v>14</v>
      </c>
      <c r="F11" t="s">
        <v>8</v>
      </c>
      <c r="G11" t="s">
        <v>9</v>
      </c>
      <c r="H11" t="s">
        <v>97</v>
      </c>
    </row>
    <row r="12" spans="1:8" x14ac:dyDescent="0.35">
      <c r="A12" t="s">
        <v>219</v>
      </c>
      <c r="B12" t="s">
        <v>10</v>
      </c>
      <c r="C12" t="s">
        <v>216</v>
      </c>
      <c r="D12" s="12">
        <f>1/($B$7*$B$8)+0.1/$B$8</f>
        <v>0.18518518518518517</v>
      </c>
      <c r="E12">
        <f>40*D12/7*60</f>
        <v>63.492063492063487</v>
      </c>
      <c r="F12">
        <f>VLOOKUP(B12,'nositele číselník'!$A$2:$F$15,3,FALSE)</f>
        <v>3.5</v>
      </c>
      <c r="H12">
        <f>ROUND(VLOOKUP(B12,'nositele číselník'!$A$2:$G$15,7,FALSE)*E12,2)</f>
        <v>887.69</v>
      </c>
    </row>
    <row r="13" spans="1:8" x14ac:dyDescent="0.35">
      <c r="B13" t="s">
        <v>11</v>
      </c>
      <c r="C13" t="s">
        <v>217</v>
      </c>
      <c r="D13" s="12">
        <f>0.1/$B$8</f>
        <v>0.11111111111111112</v>
      </c>
      <c r="E13">
        <f t="shared" ref="E13:E19" si="0">40*D13/7*60</f>
        <v>38.095238095238102</v>
      </c>
      <c r="F13">
        <f>VLOOKUP(B13,'nositele číselník'!$A$2:$F$15,3,FALSE)</f>
        <v>1.8</v>
      </c>
      <c r="H13">
        <f>ROUND(VLOOKUP(B13,'nositele číselník'!$A$2:$G$15,7,FALSE)*E13,2)</f>
        <v>273.92</v>
      </c>
    </row>
    <row r="14" spans="1:8" x14ac:dyDescent="0.35">
      <c r="A14" t="s">
        <v>218</v>
      </c>
      <c r="B14" t="s">
        <v>10</v>
      </c>
      <c r="D14" s="12"/>
      <c r="E14">
        <f>(15.5*5+2*24)*60/7/(B7*B8)</f>
        <v>79.682539682539684</v>
      </c>
      <c r="F14">
        <f>VLOOKUP(B14,'nositele číselník'!$A$2:$F$15,3,FALSE)</f>
        <v>3.5</v>
      </c>
      <c r="H14">
        <f>ROUND(VLOOKUP(B14,'nositele číselník'!$A$2:$G$15,7,FALSE)*E14,2)</f>
        <v>1114.05</v>
      </c>
    </row>
    <row r="15" spans="1:8" x14ac:dyDescent="0.35">
      <c r="A15" t="s">
        <v>17</v>
      </c>
      <c r="B15" t="s">
        <v>15</v>
      </c>
      <c r="C15" t="s">
        <v>222</v>
      </c>
      <c r="D15" s="12">
        <f>0.12/$B$8</f>
        <v>0.13333333333333333</v>
      </c>
      <c r="E15">
        <f t="shared" si="0"/>
        <v>45.714285714285708</v>
      </c>
      <c r="F15">
        <f>VLOOKUP(B15,'nositele číselník'!$A$2:$F$15,3,FALSE)</f>
        <v>2.5</v>
      </c>
      <c r="H15">
        <f>ROUND(VLOOKUP(B15,'nositele číselník'!$A$2:$G$15,7,FALSE)*E15,2)</f>
        <v>456.53</v>
      </c>
    </row>
    <row r="16" spans="1:8" x14ac:dyDescent="0.35">
      <c r="A16" t="s">
        <v>18</v>
      </c>
      <c r="B16" t="s">
        <v>16</v>
      </c>
      <c r="C16" t="s">
        <v>223</v>
      </c>
      <c r="D16" s="12">
        <f>0.2/($B$7*$B$8)</f>
        <v>1.4814814814814815E-2</v>
      </c>
      <c r="E16">
        <f t="shared" si="0"/>
        <v>5.0793650793650791</v>
      </c>
      <c r="F16">
        <f>VLOOKUP(B16,'nositele číselník'!$A$2:$F$15,3,FALSE)</f>
        <v>3.5</v>
      </c>
      <c r="H16">
        <f>ROUND(VLOOKUP(B16,'nositele číselník'!$A$2:$G$15,7,FALSE)*E16,2)</f>
        <v>71.02</v>
      </c>
    </row>
    <row r="17" spans="1:8" x14ac:dyDescent="0.35">
      <c r="A17" t="s">
        <v>21</v>
      </c>
      <c r="B17" t="s">
        <v>59</v>
      </c>
      <c r="C17" t="s">
        <v>225</v>
      </c>
      <c r="D17" s="12">
        <f>1/($B$7*$B$8)+0.4/$B$8</f>
        <v>0.5185185185185186</v>
      </c>
      <c r="E17">
        <f t="shared" si="0"/>
        <v>177.7777777777778</v>
      </c>
      <c r="F17">
        <f>VLOOKUP(B17,'nositele číselník'!$A$2:$F$15,3,FALSE)</f>
        <v>2.25</v>
      </c>
      <c r="G17" t="s">
        <v>99</v>
      </c>
      <c r="H17">
        <f>ROUND(VLOOKUP(B17,'nositele číselník'!$A$2:$G$15,7,FALSE)*E17,2)</f>
        <v>951.8</v>
      </c>
    </row>
    <row r="18" spans="1:8" x14ac:dyDescent="0.35">
      <c r="A18" t="s">
        <v>21</v>
      </c>
      <c r="B18" t="s">
        <v>19</v>
      </c>
      <c r="C18" t="s">
        <v>226</v>
      </c>
      <c r="D18" s="12">
        <f>1.2/$B$8</f>
        <v>1.3333333333333333</v>
      </c>
      <c r="E18">
        <f t="shared" si="0"/>
        <v>457.14285714285711</v>
      </c>
      <c r="F18">
        <f>VLOOKUP(B18,'nositele číselník'!$A$2:$F$15,3,FALSE)</f>
        <v>1.8</v>
      </c>
      <c r="G18" t="s">
        <v>23</v>
      </c>
      <c r="H18">
        <f>ROUND(VLOOKUP(B18,'nositele číselník'!$A$2:$G$15,7,FALSE)*E18,2)</f>
        <v>1957.99</v>
      </c>
    </row>
    <row r="19" spans="1:8" x14ac:dyDescent="0.35">
      <c r="A19" t="s">
        <v>22</v>
      </c>
      <c r="B19" t="s">
        <v>20</v>
      </c>
      <c r="C19" t="s">
        <v>220</v>
      </c>
      <c r="D19" s="12">
        <f>1/$B$8</f>
        <v>1.1111111111111112</v>
      </c>
      <c r="E19">
        <f t="shared" si="0"/>
        <v>380.95238095238091</v>
      </c>
      <c r="F19">
        <f>VLOOKUP(B19,'nositele číselník'!$A$2:$F$15,3,FALSE)</f>
        <v>1.08</v>
      </c>
      <c r="G19" t="s">
        <v>24</v>
      </c>
      <c r="H19">
        <f>ROUND(VLOOKUP(B19,'nositele číselník'!$A$2:$G$15,7,FALSE)*E19,2)</f>
        <v>979.01</v>
      </c>
    </row>
    <row r="21" spans="1:8" x14ac:dyDescent="0.35">
      <c r="A21" s="9" t="s">
        <v>73</v>
      </c>
      <c r="B21" s="9">
        <v>0</v>
      </c>
    </row>
    <row r="22" spans="1:8" x14ac:dyDescent="0.35">
      <c r="A22" s="9"/>
      <c r="B22" s="9"/>
    </row>
    <row r="23" spans="1:8" x14ac:dyDescent="0.35">
      <c r="A23" s="9" t="s">
        <v>25</v>
      </c>
      <c r="B23" s="10">
        <f>ROUND(SUM(léky!C:C),2)</f>
        <v>2510.33</v>
      </c>
      <c r="C23" t="s">
        <v>205</v>
      </c>
    </row>
    <row r="24" spans="1:8" x14ac:dyDescent="0.35">
      <c r="A24" s="9"/>
      <c r="B24" s="9"/>
    </row>
    <row r="25" spans="1:8" x14ac:dyDescent="0.35">
      <c r="A25" s="9" t="s">
        <v>27</v>
      </c>
      <c r="B25" s="10">
        <f>ROUND(SUM(materiál!B:B),2)</f>
        <v>7057.87</v>
      </c>
    </row>
    <row r="26" spans="1:8" x14ac:dyDescent="0.35">
      <c r="A26" s="9"/>
      <c r="B26" s="9"/>
    </row>
    <row r="27" spans="1:8" x14ac:dyDescent="0.35">
      <c r="A27" s="9" t="s">
        <v>28</v>
      </c>
      <c r="B27" s="9">
        <f>SUM(přístroje!O:O)</f>
        <v>5768.12</v>
      </c>
    </row>
    <row r="28" spans="1:8" x14ac:dyDescent="0.35">
      <c r="A28" s="9"/>
      <c r="B28" s="9"/>
    </row>
    <row r="29" spans="1:8" x14ac:dyDescent="0.35">
      <c r="A29" s="9" t="s">
        <v>34</v>
      </c>
      <c r="B29" s="9">
        <v>275.64999999999998</v>
      </c>
      <c r="C29" t="s">
        <v>221</v>
      </c>
    </row>
    <row r="30" spans="1:8" x14ac:dyDescent="0.35">
      <c r="A30" s="9"/>
      <c r="B30" s="9"/>
    </row>
    <row r="31" spans="1:8" x14ac:dyDescent="0.35">
      <c r="A31" s="7" t="s">
        <v>74</v>
      </c>
      <c r="B31" s="11">
        <f>ROUND(B10+B21+B23+B25+B27+B29,0)</f>
        <v>22304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5BA8-7A4C-4743-9A02-723278013950}">
  <dimension ref="A1:O31"/>
  <sheetViews>
    <sheetView workbookViewId="0">
      <selection activeCell="E9" sqref="E9"/>
    </sheetView>
  </sheetViews>
  <sheetFormatPr defaultRowHeight="14.5" x14ac:dyDescent="0.35"/>
  <cols>
    <col min="1" max="1" width="69.08984375" style="13" bestFit="1" customWidth="1"/>
    <col min="2" max="2" width="8.7265625" style="13" bestFit="1" customWidth="1"/>
    <col min="3" max="3" width="4.08984375" style="13" bestFit="1" customWidth="1"/>
    <col min="4" max="4" width="10.453125" style="13" bestFit="1" customWidth="1"/>
    <col min="5" max="5" width="25.7265625" style="13" bestFit="1" customWidth="1"/>
    <col min="6" max="6" width="24.90625" style="13" bestFit="1" customWidth="1"/>
    <col min="7" max="7" width="23.6328125" style="13" bestFit="1" customWidth="1"/>
    <col min="8" max="8" width="13.08984375" style="13" bestFit="1" customWidth="1"/>
    <col min="9" max="9" width="17.26953125" style="13" customWidth="1"/>
    <col min="10" max="10" width="35.54296875" style="13" bestFit="1" customWidth="1"/>
    <col min="11" max="11" width="27.81640625" style="13" bestFit="1" customWidth="1"/>
    <col min="12" max="12" width="26.26953125" style="13" bestFit="1" customWidth="1"/>
    <col min="13" max="13" width="33.90625" style="13" bestFit="1" customWidth="1"/>
    <col min="14" max="14" width="24.08984375" style="13" bestFit="1" customWidth="1"/>
    <col min="15" max="15" width="20.54296875" style="13" bestFit="1" customWidth="1"/>
    <col min="16" max="16384" width="8.7265625" style="13"/>
  </cols>
  <sheetData>
    <row r="1" spans="1:15" x14ac:dyDescent="0.35">
      <c r="A1" s="16" t="s">
        <v>63</v>
      </c>
      <c r="B1" s="16" t="s">
        <v>65</v>
      </c>
      <c r="C1" s="16" t="s">
        <v>64</v>
      </c>
      <c r="D1" s="16" t="s">
        <v>66</v>
      </c>
      <c r="E1" s="16" t="s">
        <v>98</v>
      </c>
      <c r="F1" s="16" t="s">
        <v>214</v>
      </c>
      <c r="G1" s="16" t="s">
        <v>67</v>
      </c>
      <c r="H1" s="16" t="s">
        <v>68</v>
      </c>
      <c r="I1" s="16" t="s">
        <v>238</v>
      </c>
      <c r="J1" s="16" t="s">
        <v>69</v>
      </c>
      <c r="K1" s="16" t="s">
        <v>234</v>
      </c>
      <c r="L1" s="16" t="s">
        <v>96</v>
      </c>
      <c r="M1" s="16" t="s">
        <v>70</v>
      </c>
      <c r="N1" s="16" t="s">
        <v>71</v>
      </c>
      <c r="O1" s="16" t="s">
        <v>72</v>
      </c>
    </row>
    <row r="2" spans="1:15" x14ac:dyDescent="0.35">
      <c r="A2" s="13" t="s">
        <v>95</v>
      </c>
      <c r="B2" s="14">
        <v>210000</v>
      </c>
      <c r="C2" s="13">
        <v>0</v>
      </c>
      <c r="D2" s="13">
        <v>5</v>
      </c>
      <c r="E2" s="13" t="s">
        <v>29</v>
      </c>
      <c r="F2" s="13">
        <v>1</v>
      </c>
      <c r="G2" s="13">
        <f>CEILING(5%*B2,1000)</f>
        <v>11000</v>
      </c>
      <c r="H2" s="13">
        <v>24</v>
      </c>
      <c r="I2" s="13">
        <v>365</v>
      </c>
      <c r="J2" s="13">
        <f t="shared" ref="J2:J31" si="0">D2*I2*H2</f>
        <v>43800</v>
      </c>
      <c r="K2" s="13">
        <v>1440</v>
      </c>
      <c r="L2" s="13">
        <f t="shared" ref="L2:L31" si="1">J2/(K2/60)</f>
        <v>1825</v>
      </c>
      <c r="M2" s="13">
        <f t="shared" ref="M2:M31" si="2">G2*D2/L2</f>
        <v>30.136986301369863</v>
      </c>
      <c r="N2" s="13">
        <f t="shared" ref="N2:N31" si="3">(B2*F2)/L2</f>
        <v>115.06849315068493</v>
      </c>
      <c r="O2" s="13">
        <f t="shared" ref="O2:O31" si="4">ROUND(M2+N2,2)</f>
        <v>145.21</v>
      </c>
    </row>
    <row r="3" spans="1:15" x14ac:dyDescent="0.35">
      <c r="A3" s="13" t="s">
        <v>30</v>
      </c>
      <c r="B3" s="14">
        <v>50000</v>
      </c>
      <c r="C3" s="13">
        <v>0</v>
      </c>
      <c r="D3" s="13">
        <v>3</v>
      </c>
      <c r="E3" s="13" t="s">
        <v>29</v>
      </c>
      <c r="F3" s="13">
        <v>1</v>
      </c>
      <c r="G3" s="13">
        <f>CEILING(4%*B3,1000)</f>
        <v>2000</v>
      </c>
      <c r="H3" s="13">
        <v>24</v>
      </c>
      <c r="I3" s="13">
        <v>365</v>
      </c>
      <c r="J3" s="13">
        <f t="shared" si="0"/>
        <v>26280</v>
      </c>
      <c r="K3" s="13">
        <v>1440</v>
      </c>
      <c r="L3" s="13">
        <f t="shared" si="1"/>
        <v>1095</v>
      </c>
      <c r="M3" s="13">
        <f t="shared" si="2"/>
        <v>5.4794520547945202</v>
      </c>
      <c r="N3" s="13">
        <f t="shared" si="3"/>
        <v>45.662100456621005</v>
      </c>
      <c r="O3" s="13">
        <f t="shared" si="4"/>
        <v>51.14</v>
      </c>
    </row>
    <row r="4" spans="1:15" x14ac:dyDescent="0.35">
      <c r="A4" s="13" t="s">
        <v>31</v>
      </c>
      <c r="B4" s="14">
        <v>350000</v>
      </c>
      <c r="C4" s="13">
        <v>0</v>
      </c>
      <c r="D4" s="13">
        <v>7</v>
      </c>
      <c r="E4" s="13" t="s">
        <v>29</v>
      </c>
      <c r="F4" s="13">
        <v>1</v>
      </c>
      <c r="G4" s="13">
        <f>CEILING(8%*B4,1000)</f>
        <v>28000</v>
      </c>
      <c r="H4" s="13">
        <v>24</v>
      </c>
      <c r="I4" s="13">
        <v>365</v>
      </c>
      <c r="J4" s="13">
        <f t="shared" si="0"/>
        <v>61320</v>
      </c>
      <c r="K4" s="13">
        <v>1440</v>
      </c>
      <c r="L4" s="13">
        <f t="shared" si="1"/>
        <v>2555</v>
      </c>
      <c r="M4" s="13">
        <f t="shared" si="2"/>
        <v>76.712328767123282</v>
      </c>
      <c r="N4" s="13">
        <f t="shared" si="3"/>
        <v>136.98630136986301</v>
      </c>
      <c r="O4" s="13">
        <f t="shared" si="4"/>
        <v>213.7</v>
      </c>
    </row>
    <row r="5" spans="1:15" x14ac:dyDescent="0.35">
      <c r="A5" s="13" t="s">
        <v>32</v>
      </c>
      <c r="B5" s="14">
        <v>4950000</v>
      </c>
      <c r="C5" s="13">
        <v>0</v>
      </c>
      <c r="D5" s="13">
        <v>7</v>
      </c>
      <c r="E5" s="13" t="s">
        <v>33</v>
      </c>
      <c r="F5" s="13">
        <f>1/'kalkulacni list'!$B$7/'kalkulacni list'!$B$8</f>
        <v>7.407407407407407E-2</v>
      </c>
      <c r="G5" s="13">
        <f>CEILING(12%*B5,1000)</f>
        <v>594000</v>
      </c>
      <c r="H5" s="13">
        <v>24</v>
      </c>
      <c r="I5" s="13">
        <v>365</v>
      </c>
      <c r="J5" s="13">
        <f t="shared" si="0"/>
        <v>61320</v>
      </c>
      <c r="K5" s="13">
        <v>1440</v>
      </c>
      <c r="L5" s="13">
        <f t="shared" si="1"/>
        <v>2555</v>
      </c>
      <c r="M5" s="13">
        <f t="shared" si="2"/>
        <v>1627.3972602739725</v>
      </c>
      <c r="N5" s="13">
        <f t="shared" si="3"/>
        <v>143.5094585779517</v>
      </c>
      <c r="O5" s="13">
        <f t="shared" si="4"/>
        <v>1770.91</v>
      </c>
    </row>
    <row r="6" spans="1:15" x14ac:dyDescent="0.35">
      <c r="A6" s="13" t="s">
        <v>75</v>
      </c>
      <c r="B6" s="14">
        <v>1500000</v>
      </c>
      <c r="C6" s="13">
        <v>0</v>
      </c>
      <c r="D6" s="13">
        <v>7</v>
      </c>
      <c r="E6" s="13" t="s">
        <v>33</v>
      </c>
      <c r="F6" s="13">
        <f>1/'kalkulacni list'!$B$7/'kalkulacni list'!$B$8</f>
        <v>7.407407407407407E-2</v>
      </c>
      <c r="G6" s="13">
        <f>CEILING(5%*B6,1000)</f>
        <v>75000</v>
      </c>
      <c r="H6" s="13">
        <f t="shared" ref="H6:H31" si="5">IF(B6&lt;1000000,4,IF(B6&gt;=5,12,6))</f>
        <v>12</v>
      </c>
      <c r="I6" s="13">
        <v>365</v>
      </c>
      <c r="J6" s="13">
        <f t="shared" si="0"/>
        <v>30660</v>
      </c>
      <c r="K6" s="13">
        <v>2</v>
      </c>
      <c r="L6" s="13">
        <f t="shared" si="1"/>
        <v>919800</v>
      </c>
      <c r="M6" s="13">
        <f t="shared" si="2"/>
        <v>0.57077625570776258</v>
      </c>
      <c r="N6" s="13">
        <f t="shared" si="3"/>
        <v>0.12079920755719842</v>
      </c>
      <c r="O6" s="13">
        <f t="shared" si="4"/>
        <v>0.69</v>
      </c>
    </row>
    <row r="7" spans="1:15" x14ac:dyDescent="0.35">
      <c r="A7" s="13" t="s">
        <v>76</v>
      </c>
      <c r="B7" s="14">
        <v>1500000</v>
      </c>
      <c r="C7" s="13">
        <v>0</v>
      </c>
      <c r="D7" s="13">
        <v>7</v>
      </c>
      <c r="E7" s="13" t="s">
        <v>33</v>
      </c>
      <c r="F7" s="13">
        <f>1/'kalkulacni list'!$B$7/'kalkulacni list'!$B$8</f>
        <v>7.407407407407407E-2</v>
      </c>
      <c r="G7" s="13">
        <f>CEILING(9%*B7,1000)</f>
        <v>135000</v>
      </c>
      <c r="H7" s="13">
        <v>24</v>
      </c>
      <c r="I7" s="13">
        <v>365</v>
      </c>
      <c r="J7" s="13">
        <f t="shared" si="0"/>
        <v>61320</v>
      </c>
      <c r="K7" s="13">
        <v>1440</v>
      </c>
      <c r="L7" s="13">
        <f t="shared" si="1"/>
        <v>2555</v>
      </c>
      <c r="M7" s="13">
        <f t="shared" si="2"/>
        <v>369.86301369863014</v>
      </c>
      <c r="N7" s="13">
        <f t="shared" si="3"/>
        <v>43.487714720591434</v>
      </c>
      <c r="O7" s="13">
        <f t="shared" si="4"/>
        <v>413.35</v>
      </c>
    </row>
    <row r="8" spans="1:15" x14ac:dyDescent="0.35">
      <c r="A8" s="13" t="s">
        <v>77</v>
      </c>
      <c r="B8" s="14">
        <v>200000</v>
      </c>
      <c r="C8" s="13">
        <v>0</v>
      </c>
      <c r="D8" s="13">
        <v>5</v>
      </c>
      <c r="E8" s="13" t="s">
        <v>33</v>
      </c>
      <c r="F8" s="13">
        <f>1/'kalkulacni list'!$B$7/'kalkulacni list'!$B$8</f>
        <v>7.407407407407407E-2</v>
      </c>
      <c r="G8" s="13">
        <f>CEILING(3%*B8,1000)</f>
        <v>6000</v>
      </c>
      <c r="H8" s="13">
        <f t="shared" si="5"/>
        <v>4</v>
      </c>
      <c r="I8" s="13">
        <v>365</v>
      </c>
      <c r="J8" s="13">
        <f t="shared" si="0"/>
        <v>7300</v>
      </c>
      <c r="K8" s="14">
        <v>5</v>
      </c>
      <c r="L8" s="13">
        <f t="shared" si="1"/>
        <v>87600</v>
      </c>
      <c r="M8" s="13">
        <f t="shared" si="2"/>
        <v>0.34246575342465752</v>
      </c>
      <c r="N8" s="13">
        <f t="shared" si="3"/>
        <v>0.16911889058007779</v>
      </c>
      <c r="O8" s="13">
        <v>0</v>
      </c>
    </row>
    <row r="9" spans="1:15" x14ac:dyDescent="0.35">
      <c r="A9" s="13" t="s">
        <v>78</v>
      </c>
      <c r="B9" s="14">
        <v>70000</v>
      </c>
      <c r="C9" s="13">
        <v>0</v>
      </c>
      <c r="D9" s="13">
        <v>5</v>
      </c>
      <c r="E9" s="13" t="s">
        <v>33</v>
      </c>
      <c r="F9" s="13">
        <f>1/'kalkulacni list'!$B$7/'kalkulacni list'!$B$8</f>
        <v>7.407407407407407E-2</v>
      </c>
      <c r="G9" s="13">
        <f>CEILING(5%*B9,1000)</f>
        <v>4000</v>
      </c>
      <c r="H9" s="13">
        <f t="shared" si="5"/>
        <v>4</v>
      </c>
      <c r="I9" s="13">
        <v>365</v>
      </c>
      <c r="J9" s="13">
        <f t="shared" si="0"/>
        <v>7300</v>
      </c>
      <c r="K9" s="13">
        <v>1</v>
      </c>
      <c r="L9" s="13">
        <f t="shared" si="1"/>
        <v>438000</v>
      </c>
      <c r="M9" s="13">
        <f t="shared" si="2"/>
        <v>4.5662100456621002E-2</v>
      </c>
      <c r="N9" s="13">
        <f t="shared" si="3"/>
        <v>1.1838322340605445E-2</v>
      </c>
      <c r="O9" s="13">
        <f t="shared" si="4"/>
        <v>0.06</v>
      </c>
    </row>
    <row r="10" spans="1:15" x14ac:dyDescent="0.35">
      <c r="A10" s="13" t="s">
        <v>79</v>
      </c>
      <c r="B10" s="14">
        <v>150000</v>
      </c>
      <c r="C10" s="13">
        <v>0</v>
      </c>
      <c r="D10" s="13">
        <v>4</v>
      </c>
      <c r="E10" s="13" t="s">
        <v>33</v>
      </c>
      <c r="F10" s="13">
        <f>1/'kalkulacni list'!$B$7/'kalkulacni list'!$B$8</f>
        <v>7.407407407407407E-2</v>
      </c>
      <c r="G10" s="13">
        <f>CEILING(8%*B10,1000)</f>
        <v>12000</v>
      </c>
      <c r="H10" s="13">
        <v>24</v>
      </c>
      <c r="I10" s="13">
        <v>365</v>
      </c>
      <c r="J10" s="13">
        <f t="shared" si="0"/>
        <v>35040</v>
      </c>
      <c r="K10" s="13">
        <v>1440</v>
      </c>
      <c r="L10" s="13">
        <f t="shared" si="1"/>
        <v>1460</v>
      </c>
      <c r="M10" s="13">
        <f t="shared" si="2"/>
        <v>32.876712328767127</v>
      </c>
      <c r="N10" s="13">
        <f t="shared" si="3"/>
        <v>7.6103500761035008</v>
      </c>
      <c r="O10" s="13">
        <f t="shared" si="4"/>
        <v>40.49</v>
      </c>
    </row>
    <row r="11" spans="1:15" x14ac:dyDescent="0.35">
      <c r="A11" s="13" t="s">
        <v>80</v>
      </c>
      <c r="B11" s="14">
        <v>30000</v>
      </c>
      <c r="C11" s="13">
        <v>0</v>
      </c>
      <c r="D11" s="13">
        <v>3</v>
      </c>
      <c r="E11" s="13" t="s">
        <v>29</v>
      </c>
      <c r="F11" s="13">
        <v>1</v>
      </c>
      <c r="G11" s="13">
        <f>CEILING(3%*B11,1000)</f>
        <v>1000</v>
      </c>
      <c r="H11" s="13">
        <f t="shared" si="5"/>
        <v>4</v>
      </c>
      <c r="I11" s="13">
        <v>365</v>
      </c>
      <c r="J11" s="13">
        <f t="shared" si="0"/>
        <v>4380</v>
      </c>
      <c r="K11" s="13">
        <v>600</v>
      </c>
      <c r="L11" s="13">
        <f t="shared" si="1"/>
        <v>438</v>
      </c>
      <c r="M11" s="13">
        <f t="shared" si="2"/>
        <v>6.8493150684931505</v>
      </c>
      <c r="N11" s="13">
        <f t="shared" si="3"/>
        <v>68.493150684931507</v>
      </c>
      <c r="O11" s="13">
        <f t="shared" si="4"/>
        <v>75.34</v>
      </c>
    </row>
    <row r="12" spans="1:15" x14ac:dyDescent="0.35">
      <c r="A12" s="13" t="s">
        <v>232</v>
      </c>
      <c r="B12" s="14">
        <v>850000</v>
      </c>
      <c r="C12" s="13">
        <v>0</v>
      </c>
      <c r="D12" s="13">
        <v>3</v>
      </c>
      <c r="E12" s="13" t="s">
        <v>206</v>
      </c>
      <c r="F12" s="13">
        <f>7/10*'kalkulacni list'!$B$8</f>
        <v>0.63</v>
      </c>
      <c r="G12" s="13">
        <f>CEILING(25%*B12,1000)</f>
        <v>213000</v>
      </c>
      <c r="H12" s="13">
        <v>24</v>
      </c>
      <c r="I12" s="13">
        <v>365</v>
      </c>
      <c r="J12" s="13">
        <f t="shared" si="0"/>
        <v>26280</v>
      </c>
      <c r="K12" s="13">
        <v>1440</v>
      </c>
      <c r="L12" s="13">
        <f t="shared" si="1"/>
        <v>1095</v>
      </c>
      <c r="M12" s="13">
        <f t="shared" si="2"/>
        <v>583.56164383561645</v>
      </c>
      <c r="N12" s="13">
        <f t="shared" si="3"/>
        <v>489.04109589041099</v>
      </c>
      <c r="O12" s="13">
        <f t="shared" si="4"/>
        <v>1072.5999999999999</v>
      </c>
    </row>
    <row r="13" spans="1:15" x14ac:dyDescent="0.35">
      <c r="A13" s="13" t="s">
        <v>231</v>
      </c>
      <c r="B13" s="14">
        <v>1250000</v>
      </c>
      <c r="C13" s="13">
        <v>0</v>
      </c>
      <c r="D13" s="13">
        <v>3</v>
      </c>
      <c r="E13" s="13" t="s">
        <v>207</v>
      </c>
      <c r="F13" s="13">
        <f>3/10*'kalkulacni list'!$B$8</f>
        <v>0.27</v>
      </c>
      <c r="G13" s="13">
        <f>CEILING(25%*B13,1000)</f>
        <v>313000</v>
      </c>
      <c r="H13" s="13">
        <v>24</v>
      </c>
      <c r="I13" s="13">
        <v>365</v>
      </c>
      <c r="J13" s="13">
        <f t="shared" si="0"/>
        <v>26280</v>
      </c>
      <c r="K13" s="13">
        <v>1440</v>
      </c>
      <c r="L13" s="13">
        <f t="shared" si="1"/>
        <v>1095</v>
      </c>
      <c r="M13" s="13">
        <f t="shared" si="2"/>
        <v>857.53424657534242</v>
      </c>
      <c r="N13" s="13">
        <f t="shared" si="3"/>
        <v>308.21917808219177</v>
      </c>
      <c r="O13" s="13">
        <f t="shared" si="4"/>
        <v>1165.75</v>
      </c>
    </row>
    <row r="14" spans="1:15" x14ac:dyDescent="0.35">
      <c r="A14" s="13" t="s">
        <v>81</v>
      </c>
      <c r="B14" s="14">
        <v>60000</v>
      </c>
      <c r="C14" s="13">
        <v>0</v>
      </c>
      <c r="D14" s="13">
        <v>3</v>
      </c>
      <c r="E14" s="13" t="s">
        <v>207</v>
      </c>
      <c r="F14" s="13">
        <f>3/10*'kalkulacni list'!$B$8</f>
        <v>0.27</v>
      </c>
      <c r="G14" s="13">
        <f>CEILING(25%*B14,1000)</f>
        <v>15000</v>
      </c>
      <c r="H14" s="13">
        <v>24</v>
      </c>
      <c r="I14" s="13">
        <v>365</v>
      </c>
      <c r="J14" s="13">
        <f t="shared" si="0"/>
        <v>26280</v>
      </c>
      <c r="K14" s="13">
        <v>1440</v>
      </c>
      <c r="L14" s="13">
        <f t="shared" si="1"/>
        <v>1095</v>
      </c>
      <c r="M14" s="13">
        <f t="shared" si="2"/>
        <v>41.095890410958901</v>
      </c>
      <c r="N14" s="13">
        <f t="shared" si="3"/>
        <v>14.794520547945208</v>
      </c>
      <c r="O14" s="13">
        <f t="shared" si="4"/>
        <v>55.89</v>
      </c>
    </row>
    <row r="15" spans="1:15" x14ac:dyDescent="0.35">
      <c r="A15" s="13" t="s">
        <v>82</v>
      </c>
      <c r="B15" s="14">
        <v>546000</v>
      </c>
      <c r="C15" s="13">
        <v>0</v>
      </c>
      <c r="D15" s="13">
        <v>4</v>
      </c>
      <c r="E15" s="13" t="s">
        <v>33</v>
      </c>
      <c r="F15" s="13">
        <f>1/'kalkulacni list'!$B$7/'kalkulacni list'!$B$8</f>
        <v>7.407407407407407E-2</v>
      </c>
      <c r="G15" s="13">
        <f t="shared" ref="G15:G19" si="6">CEILING(8%*B15,1000)</f>
        <v>44000</v>
      </c>
      <c r="H15" s="13">
        <f t="shared" si="5"/>
        <v>4</v>
      </c>
      <c r="I15" s="13">
        <v>365</v>
      </c>
      <c r="J15" s="13">
        <f t="shared" si="0"/>
        <v>5840</v>
      </c>
      <c r="K15" s="13">
        <v>5</v>
      </c>
      <c r="L15" s="13">
        <f t="shared" si="1"/>
        <v>70080</v>
      </c>
      <c r="M15" s="13">
        <f t="shared" si="2"/>
        <v>2.5114155251141552</v>
      </c>
      <c r="N15" s="13">
        <f t="shared" si="3"/>
        <v>0.57711821410451547</v>
      </c>
      <c r="O15" s="13">
        <f t="shared" si="4"/>
        <v>3.09</v>
      </c>
    </row>
    <row r="16" spans="1:15" x14ac:dyDescent="0.35">
      <c r="A16" s="13" t="s">
        <v>83</v>
      </c>
      <c r="B16" s="14">
        <v>272000</v>
      </c>
      <c r="C16" s="13">
        <v>0</v>
      </c>
      <c r="D16" s="13">
        <v>4</v>
      </c>
      <c r="E16" s="13" t="s">
        <v>29</v>
      </c>
      <c r="F16" s="13">
        <f>1*'kalkulacni list'!$B$8</f>
        <v>0.9</v>
      </c>
      <c r="G16" s="13">
        <f t="shared" si="6"/>
        <v>22000</v>
      </c>
      <c r="H16" s="13">
        <v>24</v>
      </c>
      <c r="I16" s="13">
        <v>365</v>
      </c>
      <c r="J16" s="13">
        <f t="shared" si="0"/>
        <v>35040</v>
      </c>
      <c r="K16" s="13">
        <v>1440</v>
      </c>
      <c r="L16" s="13">
        <f t="shared" si="1"/>
        <v>1460</v>
      </c>
      <c r="M16" s="13">
        <f t="shared" si="2"/>
        <v>60.273972602739725</v>
      </c>
      <c r="N16" s="13">
        <f t="shared" si="3"/>
        <v>167.67123287671234</v>
      </c>
      <c r="O16" s="13">
        <f t="shared" si="4"/>
        <v>227.95</v>
      </c>
    </row>
    <row r="17" spans="1:15" x14ac:dyDescent="0.35">
      <c r="A17" s="13" t="s">
        <v>84</v>
      </c>
      <c r="B17" s="14">
        <v>65000</v>
      </c>
      <c r="C17" s="13">
        <v>0</v>
      </c>
      <c r="D17" s="13">
        <v>3</v>
      </c>
      <c r="E17" s="13" t="s">
        <v>29</v>
      </c>
      <c r="F17" s="13">
        <f>1*'kalkulacni list'!$B$8</f>
        <v>0.9</v>
      </c>
      <c r="G17" s="13">
        <f t="shared" si="6"/>
        <v>6000</v>
      </c>
      <c r="H17" s="13">
        <f t="shared" si="5"/>
        <v>4</v>
      </c>
      <c r="I17" s="13">
        <v>365</v>
      </c>
      <c r="J17" s="13">
        <f t="shared" si="0"/>
        <v>4380</v>
      </c>
      <c r="K17" s="13">
        <v>60</v>
      </c>
      <c r="L17" s="13">
        <f t="shared" si="1"/>
        <v>4380</v>
      </c>
      <c r="M17" s="13">
        <f t="shared" si="2"/>
        <v>4.1095890410958908</v>
      </c>
      <c r="N17" s="13">
        <f t="shared" si="3"/>
        <v>13.356164383561644</v>
      </c>
      <c r="O17" s="13">
        <f t="shared" si="4"/>
        <v>17.47</v>
      </c>
    </row>
    <row r="18" spans="1:15" x14ac:dyDescent="0.35">
      <c r="A18" s="13" t="s">
        <v>85</v>
      </c>
      <c r="B18" s="14">
        <v>35000</v>
      </c>
      <c r="C18" s="13">
        <v>0</v>
      </c>
      <c r="D18" s="13">
        <v>3</v>
      </c>
      <c r="E18" s="13" t="s">
        <v>210</v>
      </c>
      <c r="F18" s="13">
        <f>2/'kalkulacni list'!$B$7/'kalkulacni list'!$B$8</f>
        <v>0.14814814814814814</v>
      </c>
      <c r="G18" s="13">
        <f>CEILING(8%*B18,1000)</f>
        <v>3000</v>
      </c>
      <c r="H18" s="13">
        <f t="shared" si="5"/>
        <v>4</v>
      </c>
      <c r="I18" s="13">
        <v>365</v>
      </c>
      <c r="J18" s="13">
        <f t="shared" si="0"/>
        <v>4380</v>
      </c>
      <c r="K18" s="13">
        <v>60</v>
      </c>
      <c r="L18" s="13">
        <f t="shared" si="1"/>
        <v>4380</v>
      </c>
      <c r="M18" s="13">
        <f t="shared" si="2"/>
        <v>2.0547945205479454</v>
      </c>
      <c r="N18" s="13">
        <f t="shared" si="3"/>
        <v>1.1838322340605445</v>
      </c>
      <c r="O18" s="13">
        <f t="shared" si="4"/>
        <v>3.24</v>
      </c>
    </row>
    <row r="19" spans="1:15" x14ac:dyDescent="0.35">
      <c r="A19" s="13" t="s">
        <v>86</v>
      </c>
      <c r="B19" s="14">
        <v>35000</v>
      </c>
      <c r="C19" s="13">
        <v>0</v>
      </c>
      <c r="D19" s="13">
        <v>3</v>
      </c>
      <c r="E19" s="13" t="s">
        <v>207</v>
      </c>
      <c r="F19" s="13">
        <f>3/10*'kalkulacni list'!$B$8</f>
        <v>0.27</v>
      </c>
      <c r="G19" s="13">
        <f t="shared" si="6"/>
        <v>3000</v>
      </c>
      <c r="H19" s="13">
        <f t="shared" si="5"/>
        <v>4</v>
      </c>
      <c r="I19" s="13">
        <v>365</v>
      </c>
      <c r="J19" s="13">
        <f t="shared" si="0"/>
        <v>4380</v>
      </c>
      <c r="K19" s="13">
        <v>480</v>
      </c>
      <c r="L19" s="13">
        <f t="shared" si="1"/>
        <v>547.5</v>
      </c>
      <c r="M19" s="13">
        <f t="shared" si="2"/>
        <v>16.438356164383563</v>
      </c>
      <c r="N19" s="13">
        <f t="shared" si="3"/>
        <v>17.260273972602739</v>
      </c>
      <c r="O19" s="13">
        <f t="shared" si="4"/>
        <v>33.700000000000003</v>
      </c>
    </row>
    <row r="20" spans="1:15" x14ac:dyDescent="0.35">
      <c r="A20" s="13" t="s">
        <v>87</v>
      </c>
      <c r="B20" s="14">
        <v>35000</v>
      </c>
      <c r="C20" s="13">
        <v>0</v>
      </c>
      <c r="D20" s="13">
        <v>3</v>
      </c>
      <c r="E20" s="13" t="s">
        <v>208</v>
      </c>
      <c r="F20" s="13">
        <f>2*'kalkulacni list'!$B$8</f>
        <v>1.8</v>
      </c>
      <c r="G20" s="13">
        <f>CEILING(3%*B20,1000)</f>
        <v>2000</v>
      </c>
      <c r="H20" s="13">
        <f t="shared" si="5"/>
        <v>4</v>
      </c>
      <c r="I20" s="13">
        <v>365</v>
      </c>
      <c r="J20" s="13">
        <f t="shared" si="0"/>
        <v>4380</v>
      </c>
      <c r="K20" s="13">
        <v>720</v>
      </c>
      <c r="L20" s="13">
        <f t="shared" si="1"/>
        <v>365</v>
      </c>
      <c r="M20" s="13">
        <f t="shared" si="2"/>
        <v>16.438356164383563</v>
      </c>
      <c r="N20" s="13">
        <f t="shared" si="3"/>
        <v>172.60273972602741</v>
      </c>
      <c r="O20" s="13">
        <f t="shared" si="4"/>
        <v>189.04</v>
      </c>
    </row>
    <row r="21" spans="1:15" x14ac:dyDescent="0.35">
      <c r="A21" s="13" t="s">
        <v>88</v>
      </c>
      <c r="B21" s="14">
        <v>35000</v>
      </c>
      <c r="C21" s="13">
        <v>0</v>
      </c>
      <c r="D21" s="13">
        <v>3</v>
      </c>
      <c r="E21" s="13" t="s">
        <v>209</v>
      </c>
      <c r="F21" s="13">
        <f>4*'kalkulacni list'!$B$8</f>
        <v>3.6</v>
      </c>
      <c r="G21" s="13">
        <f>CEILING(3%*B21,1000)</f>
        <v>2000</v>
      </c>
      <c r="H21" s="13">
        <f t="shared" si="5"/>
        <v>4</v>
      </c>
      <c r="I21" s="13">
        <v>365</v>
      </c>
      <c r="J21" s="13">
        <f t="shared" si="0"/>
        <v>4380</v>
      </c>
      <c r="K21" s="13">
        <v>540</v>
      </c>
      <c r="L21" s="13">
        <f t="shared" si="1"/>
        <v>486.66666666666669</v>
      </c>
      <c r="M21" s="13">
        <f t="shared" si="2"/>
        <v>12.328767123287671</v>
      </c>
      <c r="N21" s="13">
        <f t="shared" si="3"/>
        <v>258.90410958904107</v>
      </c>
      <c r="O21" s="13">
        <f t="shared" si="4"/>
        <v>271.23</v>
      </c>
    </row>
    <row r="22" spans="1:15" x14ac:dyDescent="0.35">
      <c r="A22" s="13" t="s">
        <v>89</v>
      </c>
      <c r="B22" s="14">
        <v>50000</v>
      </c>
      <c r="C22" s="13">
        <v>0</v>
      </c>
      <c r="D22" s="13">
        <v>5</v>
      </c>
      <c r="E22" s="13" t="s">
        <v>211</v>
      </c>
      <c r="F22" s="13">
        <f>1/'kalkulacni list'!$B$7/'kalkulacni list'!$B$8</f>
        <v>7.407407407407407E-2</v>
      </c>
      <c r="G22" s="13">
        <f>CEILING(3%*B22,1000)</f>
        <v>2000</v>
      </c>
      <c r="H22" s="13">
        <f t="shared" si="5"/>
        <v>4</v>
      </c>
      <c r="I22" s="13">
        <v>365</v>
      </c>
      <c r="J22" s="13">
        <f t="shared" si="0"/>
        <v>7300</v>
      </c>
      <c r="K22" s="13">
        <v>5</v>
      </c>
      <c r="L22" s="13">
        <f t="shared" si="1"/>
        <v>87600</v>
      </c>
      <c r="M22" s="13">
        <f t="shared" si="2"/>
        <v>0.11415525114155251</v>
      </c>
      <c r="N22" s="13">
        <f t="shared" si="3"/>
        <v>4.2279722645019446E-2</v>
      </c>
      <c r="O22" s="13">
        <f t="shared" si="4"/>
        <v>0.16</v>
      </c>
    </row>
    <row r="23" spans="1:15" x14ac:dyDescent="0.35">
      <c r="A23" s="13" t="s">
        <v>90</v>
      </c>
      <c r="B23" s="14">
        <v>16000</v>
      </c>
      <c r="C23" s="13">
        <v>0</v>
      </c>
      <c r="D23" s="13">
        <v>5</v>
      </c>
      <c r="E23" s="13" t="s">
        <v>211</v>
      </c>
      <c r="F23" s="13">
        <f>1/'kalkulacni list'!$B$7/'kalkulacni list'!$B$8</f>
        <v>7.407407407407407E-2</v>
      </c>
      <c r="G23" s="13">
        <f>CEILING(6%*B23,1000)</f>
        <v>1000</v>
      </c>
      <c r="H23" s="13">
        <f t="shared" si="5"/>
        <v>4</v>
      </c>
      <c r="I23" s="13">
        <v>365</v>
      </c>
      <c r="J23" s="13">
        <f t="shared" si="0"/>
        <v>7300</v>
      </c>
      <c r="K23" s="13">
        <v>5</v>
      </c>
      <c r="L23" s="13">
        <f t="shared" si="1"/>
        <v>87600</v>
      </c>
      <c r="M23" s="13">
        <f t="shared" si="2"/>
        <v>5.7077625570776253E-2</v>
      </c>
      <c r="N23" s="13">
        <f t="shared" si="3"/>
        <v>1.3529511246406225E-2</v>
      </c>
      <c r="O23" s="13">
        <f t="shared" si="4"/>
        <v>7.0000000000000007E-2</v>
      </c>
    </row>
    <row r="24" spans="1:15" x14ac:dyDescent="0.35">
      <c r="A24" s="13" t="s">
        <v>91</v>
      </c>
      <c r="B24" s="14">
        <v>80000</v>
      </c>
      <c r="C24" s="13">
        <v>0</v>
      </c>
      <c r="D24" s="13">
        <v>5</v>
      </c>
      <c r="E24" s="13" t="s">
        <v>211</v>
      </c>
      <c r="F24" s="13">
        <f>1/'kalkulacni list'!$B$7/'kalkulacni list'!$B$8</f>
        <v>7.407407407407407E-2</v>
      </c>
      <c r="G24" s="13">
        <f>CEILING(2%*B24,1000)</f>
        <v>2000</v>
      </c>
      <c r="H24" s="13">
        <f t="shared" si="5"/>
        <v>4</v>
      </c>
      <c r="I24" s="13">
        <v>365</v>
      </c>
      <c r="J24" s="13">
        <f t="shared" si="0"/>
        <v>7300</v>
      </c>
      <c r="K24" s="13">
        <v>5</v>
      </c>
      <c r="L24" s="13">
        <f t="shared" si="1"/>
        <v>87600</v>
      </c>
      <c r="M24" s="13">
        <f t="shared" si="2"/>
        <v>0.11415525114155251</v>
      </c>
      <c r="N24" s="13">
        <f t="shared" si="3"/>
        <v>6.7647556232031114E-2</v>
      </c>
      <c r="O24" s="13">
        <f t="shared" si="4"/>
        <v>0.18</v>
      </c>
    </row>
    <row r="25" spans="1:15" x14ac:dyDescent="0.35">
      <c r="A25" s="13" t="s">
        <v>228</v>
      </c>
      <c r="B25" s="14">
        <v>45000</v>
      </c>
      <c r="C25" s="13">
        <v>0</v>
      </c>
      <c r="D25" s="13">
        <v>5</v>
      </c>
      <c r="E25" s="13" t="s">
        <v>212</v>
      </c>
      <c r="F25" s="13">
        <f>2/'kalkulacni list'!$B$7/'kalkulacni list'!$B$8</f>
        <v>0.14814814814814814</v>
      </c>
      <c r="G25" s="13">
        <f>CEILING(4%*B25,1000)</f>
        <v>2000</v>
      </c>
      <c r="H25" s="13">
        <f t="shared" si="5"/>
        <v>4</v>
      </c>
      <c r="I25" s="13">
        <v>365</v>
      </c>
      <c r="J25" s="13">
        <f t="shared" si="0"/>
        <v>7300</v>
      </c>
      <c r="K25" s="13">
        <v>30</v>
      </c>
      <c r="L25" s="13">
        <f t="shared" si="1"/>
        <v>14600</v>
      </c>
      <c r="M25" s="13">
        <f t="shared" si="2"/>
        <v>0.68493150684931503</v>
      </c>
      <c r="N25" s="13">
        <f t="shared" si="3"/>
        <v>0.45662100456621002</v>
      </c>
      <c r="O25" s="13">
        <f t="shared" si="4"/>
        <v>1.1399999999999999</v>
      </c>
    </row>
    <row r="26" spans="1:15" x14ac:dyDescent="0.35">
      <c r="A26" s="13" t="s">
        <v>230</v>
      </c>
      <c r="B26" s="14">
        <v>150000</v>
      </c>
      <c r="C26" s="13">
        <v>0</v>
      </c>
      <c r="D26" s="13">
        <v>4</v>
      </c>
      <c r="E26" s="13" t="s">
        <v>211</v>
      </c>
      <c r="F26" s="13">
        <f>2/'kalkulacni list'!$B$7/'kalkulacni list'!$B$8</f>
        <v>0.14814814814814814</v>
      </c>
      <c r="G26" s="13">
        <f>CEILING(6%*B26,1000)</f>
        <v>9000</v>
      </c>
      <c r="H26" s="13">
        <f t="shared" ref="H26" si="7">IF(B26&lt;1000000,4,IF(B26&gt;=5,12,6))</f>
        <v>4</v>
      </c>
      <c r="I26" s="13">
        <v>365</v>
      </c>
      <c r="J26" s="13">
        <f t="shared" si="0"/>
        <v>5840</v>
      </c>
      <c r="K26" s="13">
        <v>20</v>
      </c>
      <c r="L26" s="13">
        <f t="shared" si="1"/>
        <v>17520</v>
      </c>
      <c r="M26" s="13">
        <f t="shared" si="2"/>
        <v>2.0547945205479454</v>
      </c>
      <c r="N26" s="13">
        <f t="shared" si="3"/>
        <v>1.2683916793505834</v>
      </c>
      <c r="O26" s="13">
        <f t="shared" si="4"/>
        <v>3.32</v>
      </c>
    </row>
    <row r="27" spans="1:15" x14ac:dyDescent="0.35">
      <c r="A27" s="13" t="s">
        <v>229</v>
      </c>
      <c r="B27" s="14">
        <v>380000</v>
      </c>
      <c r="C27" s="13">
        <v>0</v>
      </c>
      <c r="D27" s="13">
        <v>5</v>
      </c>
      <c r="E27" s="13" t="s">
        <v>211</v>
      </c>
      <c r="F27" s="13">
        <f>2/'kalkulacni list'!$B$7/'kalkulacni list'!$B$8</f>
        <v>0.14814814814814814</v>
      </c>
      <c r="G27" s="13">
        <f>CEILING(5%*B27,1000)</f>
        <v>19000</v>
      </c>
      <c r="H27" s="13">
        <f t="shared" si="5"/>
        <v>4</v>
      </c>
      <c r="I27" s="13">
        <v>365</v>
      </c>
      <c r="J27" s="13">
        <f t="shared" si="0"/>
        <v>7300</v>
      </c>
      <c r="K27" s="13">
        <v>15</v>
      </c>
      <c r="L27" s="13">
        <f t="shared" si="1"/>
        <v>29200</v>
      </c>
      <c r="M27" s="13">
        <f t="shared" si="2"/>
        <v>3.2534246575342465</v>
      </c>
      <c r="N27" s="13">
        <f t="shared" si="3"/>
        <v>1.9279553526128868</v>
      </c>
      <c r="O27" s="13">
        <f t="shared" si="4"/>
        <v>5.18</v>
      </c>
    </row>
    <row r="28" spans="1:15" x14ac:dyDescent="0.35">
      <c r="A28" s="13" t="s">
        <v>92</v>
      </c>
      <c r="B28" s="14">
        <v>100000</v>
      </c>
      <c r="C28" s="13">
        <v>0</v>
      </c>
      <c r="D28" s="13">
        <v>4</v>
      </c>
      <c r="E28" s="13" t="s">
        <v>211</v>
      </c>
      <c r="F28" s="13">
        <f>1/'kalkulacni list'!$B$7/'kalkulacni list'!$B$8</f>
        <v>7.407407407407407E-2</v>
      </c>
      <c r="G28" s="13">
        <f>CEILING(4.5%*B28,1000)</f>
        <v>5000</v>
      </c>
      <c r="H28" s="13">
        <f t="shared" si="5"/>
        <v>4</v>
      </c>
      <c r="I28" s="13">
        <v>365</v>
      </c>
      <c r="J28" s="13">
        <f t="shared" si="0"/>
        <v>5840</v>
      </c>
      <c r="K28" s="13">
        <v>60</v>
      </c>
      <c r="L28" s="13">
        <f t="shared" si="1"/>
        <v>5840</v>
      </c>
      <c r="M28" s="13">
        <f t="shared" si="2"/>
        <v>3.4246575342465753</v>
      </c>
      <c r="N28" s="13">
        <f t="shared" si="3"/>
        <v>1.2683916793505834</v>
      </c>
      <c r="O28" s="13">
        <f t="shared" si="4"/>
        <v>4.6900000000000004</v>
      </c>
    </row>
    <row r="29" spans="1:15" x14ac:dyDescent="0.35">
      <c r="A29" s="13" t="s">
        <v>93</v>
      </c>
      <c r="B29" s="14">
        <v>40000</v>
      </c>
      <c r="C29" s="13">
        <v>0</v>
      </c>
      <c r="D29" s="13">
        <v>5</v>
      </c>
      <c r="E29" s="13" t="s">
        <v>211</v>
      </c>
      <c r="F29" s="13">
        <f>1/'kalkulacni list'!$B$7/'kalkulacni list'!$B$8</f>
        <v>7.407407407407407E-2</v>
      </c>
      <c r="G29" s="13">
        <f>CEILING(4.5%*B29,1000)</f>
        <v>2000</v>
      </c>
      <c r="H29" s="13">
        <f t="shared" si="5"/>
        <v>4</v>
      </c>
      <c r="I29" s="13">
        <v>365</v>
      </c>
      <c r="J29" s="13">
        <f t="shared" si="0"/>
        <v>7300</v>
      </c>
      <c r="K29" s="13">
        <v>30</v>
      </c>
      <c r="L29" s="13">
        <f t="shared" si="1"/>
        <v>14600</v>
      </c>
      <c r="M29" s="13">
        <f t="shared" si="2"/>
        <v>0.68493150684931503</v>
      </c>
      <c r="N29" s="13">
        <f t="shared" si="3"/>
        <v>0.20294266869609331</v>
      </c>
      <c r="O29" s="13">
        <f t="shared" si="4"/>
        <v>0.89</v>
      </c>
    </row>
    <row r="30" spans="1:15" x14ac:dyDescent="0.35">
      <c r="A30" s="13" t="s">
        <v>227</v>
      </c>
      <c r="B30" s="14">
        <v>40000</v>
      </c>
      <c r="C30" s="13">
        <v>0</v>
      </c>
      <c r="D30" s="13">
        <v>5</v>
      </c>
      <c r="E30" s="13" t="s">
        <v>211</v>
      </c>
      <c r="F30" s="13">
        <f>1/'kalkulacni list'!$B$7/'kalkulacni list'!$B$8</f>
        <v>7.407407407407407E-2</v>
      </c>
      <c r="G30" s="13">
        <f t="shared" ref="G30" si="8">CEILING(7.65%*B30,1000)</f>
        <v>4000</v>
      </c>
      <c r="H30" s="13">
        <f t="shared" si="5"/>
        <v>4</v>
      </c>
      <c r="I30" s="13">
        <v>365</v>
      </c>
      <c r="J30" s="13">
        <f t="shared" si="0"/>
        <v>7300</v>
      </c>
      <c r="K30" s="13">
        <v>30</v>
      </c>
      <c r="L30" s="13">
        <f t="shared" si="1"/>
        <v>14600</v>
      </c>
      <c r="M30" s="13">
        <f t="shared" si="2"/>
        <v>1.3698630136986301</v>
      </c>
      <c r="N30" s="13">
        <f t="shared" si="3"/>
        <v>0.20294266869609331</v>
      </c>
      <c r="O30" s="13">
        <f t="shared" si="4"/>
        <v>1.57</v>
      </c>
    </row>
    <row r="31" spans="1:15" x14ac:dyDescent="0.35">
      <c r="A31" s="13" t="s">
        <v>94</v>
      </c>
      <c r="B31" s="14">
        <v>14000</v>
      </c>
      <c r="C31" s="13">
        <v>0</v>
      </c>
      <c r="D31" s="13">
        <v>5</v>
      </c>
      <c r="E31" s="13" t="s">
        <v>211</v>
      </c>
      <c r="F31" s="13">
        <f>1/'kalkulacni list'!$B$7/'kalkulacni list'!$B$8</f>
        <v>7.407407407407407E-2</v>
      </c>
      <c r="G31" s="13">
        <f>CEILING(5%*B31,1000)</f>
        <v>1000</v>
      </c>
      <c r="H31" s="13">
        <f t="shared" si="5"/>
        <v>4</v>
      </c>
      <c r="I31" s="13">
        <v>365</v>
      </c>
      <c r="J31" s="13">
        <f t="shared" si="0"/>
        <v>7300</v>
      </c>
      <c r="K31" s="13">
        <v>5</v>
      </c>
      <c r="L31" s="13">
        <f t="shared" si="1"/>
        <v>87600</v>
      </c>
      <c r="M31" s="13">
        <f t="shared" si="2"/>
        <v>5.7077625570776253E-2</v>
      </c>
      <c r="N31" s="13">
        <f t="shared" si="3"/>
        <v>1.1838322340605445E-2</v>
      </c>
      <c r="O31" s="13">
        <f t="shared" si="4"/>
        <v>7.0000000000000007E-2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139CE-C4AE-44A4-9D64-FD474B11CF0A}">
  <dimension ref="A1:C75"/>
  <sheetViews>
    <sheetView workbookViewId="0"/>
  </sheetViews>
  <sheetFormatPr defaultRowHeight="14.5" x14ac:dyDescent="0.35"/>
  <cols>
    <col min="1" max="1" width="86.7265625" style="27" bestFit="1" customWidth="1"/>
    <col min="2" max="3" width="8.7265625" style="27"/>
  </cols>
  <sheetData>
    <row r="1" spans="1:3" x14ac:dyDescent="0.35">
      <c r="A1" s="25" t="s">
        <v>224</v>
      </c>
      <c r="B1" s="25" t="s">
        <v>37</v>
      </c>
      <c r="C1" s="23"/>
    </row>
    <row r="2" spans="1:3" x14ac:dyDescent="0.35">
      <c r="A2" s="26" t="s">
        <v>100</v>
      </c>
      <c r="B2" s="20">
        <v>151.66666666666666</v>
      </c>
      <c r="C2" s="23"/>
    </row>
    <row r="3" spans="1:3" x14ac:dyDescent="0.35">
      <c r="A3" s="26" t="s">
        <v>101</v>
      </c>
      <c r="B3" s="17">
        <v>63.82</v>
      </c>
      <c r="C3" s="23"/>
    </row>
    <row r="4" spans="1:3" x14ac:dyDescent="0.35">
      <c r="A4" s="26" t="s">
        <v>102</v>
      </c>
      <c r="B4" s="17">
        <v>47.82</v>
      </c>
      <c r="C4" s="23"/>
    </row>
    <row r="5" spans="1:3" x14ac:dyDescent="0.35">
      <c r="A5" s="26" t="s">
        <v>103</v>
      </c>
      <c r="B5" s="17">
        <v>31.733333333333334</v>
      </c>
      <c r="C5" s="23"/>
    </row>
    <row r="6" spans="1:3" x14ac:dyDescent="0.35">
      <c r="A6" s="26" t="s">
        <v>104</v>
      </c>
      <c r="B6" s="17">
        <v>81.67</v>
      </c>
      <c r="C6" s="23"/>
    </row>
    <row r="7" spans="1:3" x14ac:dyDescent="0.35">
      <c r="A7" s="26" t="s">
        <v>105</v>
      </c>
      <c r="B7" s="17">
        <v>185.22380952380951</v>
      </c>
      <c r="C7" s="23"/>
    </row>
    <row r="8" spans="1:3" x14ac:dyDescent="0.35">
      <c r="A8" s="26" t="s">
        <v>106</v>
      </c>
      <c r="B8" s="17">
        <v>260</v>
      </c>
      <c r="C8" s="23"/>
    </row>
    <row r="9" spans="1:3" x14ac:dyDescent="0.35">
      <c r="A9" s="26" t="s">
        <v>107</v>
      </c>
      <c r="B9" s="17">
        <v>1950</v>
      </c>
      <c r="C9" s="23"/>
    </row>
    <row r="10" spans="1:3" x14ac:dyDescent="0.35">
      <c r="A10" s="26" t="s">
        <v>108</v>
      </c>
      <c r="B10" s="17">
        <v>270</v>
      </c>
      <c r="C10" s="23"/>
    </row>
    <row r="11" spans="1:3" x14ac:dyDescent="0.35">
      <c r="A11" s="26" t="s">
        <v>109</v>
      </c>
      <c r="B11" s="18">
        <v>25.55</v>
      </c>
      <c r="C11" s="23"/>
    </row>
    <row r="12" spans="1:3" x14ac:dyDescent="0.35">
      <c r="A12" s="26" t="s">
        <v>110</v>
      </c>
      <c r="B12" s="18">
        <v>17.47</v>
      </c>
      <c r="C12" s="23"/>
    </row>
    <row r="13" spans="1:3" x14ac:dyDescent="0.35">
      <c r="A13" s="26" t="s">
        <v>111</v>
      </c>
      <c r="B13" s="18">
        <v>123.33333333333333</v>
      </c>
      <c r="C13" s="23"/>
    </row>
    <row r="14" spans="1:3" x14ac:dyDescent="0.35">
      <c r="A14" s="26" t="s">
        <v>112</v>
      </c>
      <c r="B14" s="17">
        <v>51.116666666666667</v>
      </c>
      <c r="C14" s="23"/>
    </row>
    <row r="15" spans="1:3" x14ac:dyDescent="0.35">
      <c r="A15" s="26" t="s">
        <v>113</v>
      </c>
      <c r="B15" s="17">
        <v>58.916666666666664</v>
      </c>
      <c r="C15" s="23"/>
    </row>
    <row r="16" spans="1:3" x14ac:dyDescent="0.35">
      <c r="A16" s="26" t="s">
        <v>114</v>
      </c>
      <c r="B16" s="19">
        <v>2.1</v>
      </c>
      <c r="C16" s="23"/>
    </row>
    <row r="17" spans="1:3" x14ac:dyDescent="0.35">
      <c r="A17" s="26" t="s">
        <v>115</v>
      </c>
      <c r="B17" s="20">
        <v>33.833333333333336</v>
      </c>
      <c r="C17" s="23"/>
    </row>
    <row r="18" spans="1:3" x14ac:dyDescent="0.35">
      <c r="A18" s="26" t="s">
        <v>116</v>
      </c>
      <c r="B18" s="21">
        <v>24.7</v>
      </c>
      <c r="C18" s="23"/>
    </row>
    <row r="19" spans="1:3" x14ac:dyDescent="0.35">
      <c r="A19" s="26" t="s">
        <v>117</v>
      </c>
      <c r="B19" s="21">
        <v>13.5</v>
      </c>
      <c r="C19" s="23"/>
    </row>
    <row r="20" spans="1:3" x14ac:dyDescent="0.35">
      <c r="A20" s="26" t="s">
        <v>118</v>
      </c>
      <c r="B20" s="21">
        <v>45.833333333333329</v>
      </c>
      <c r="C20" s="23"/>
    </row>
    <row r="21" spans="1:3" x14ac:dyDescent="0.35">
      <c r="A21" s="26" t="s">
        <v>119</v>
      </c>
      <c r="B21" s="21">
        <v>30.883333333333333</v>
      </c>
      <c r="C21" s="23"/>
    </row>
    <row r="22" spans="1:3" x14ac:dyDescent="0.35">
      <c r="A22" s="26" t="s">
        <v>233</v>
      </c>
      <c r="B22" s="21">
        <v>228.559</v>
      </c>
      <c r="C22" s="23"/>
    </row>
    <row r="23" spans="1:3" x14ac:dyDescent="0.35">
      <c r="A23" s="26" t="s">
        <v>120</v>
      </c>
      <c r="B23" s="21">
        <v>657.5333333333333</v>
      </c>
      <c r="C23" s="23"/>
    </row>
    <row r="24" spans="1:3" x14ac:dyDescent="0.35">
      <c r="A24" s="26" t="s">
        <v>121</v>
      </c>
      <c r="B24" s="21">
        <v>106.11666666666667</v>
      </c>
      <c r="C24" s="23"/>
    </row>
    <row r="25" spans="1:3" x14ac:dyDescent="0.35">
      <c r="A25" s="26" t="s">
        <v>122</v>
      </c>
      <c r="B25" s="19">
        <v>111.76666666666667</v>
      </c>
      <c r="C25" s="23"/>
    </row>
    <row r="26" spans="1:3" x14ac:dyDescent="0.35">
      <c r="A26" s="26" t="s">
        <v>123</v>
      </c>
      <c r="B26" s="21">
        <v>63.29</v>
      </c>
      <c r="C26" s="23"/>
    </row>
    <row r="27" spans="1:3" x14ac:dyDescent="0.35">
      <c r="A27" s="26" t="s">
        <v>124</v>
      </c>
      <c r="B27" s="20">
        <v>140</v>
      </c>
      <c r="C27" s="23"/>
    </row>
    <row r="28" spans="1:3" x14ac:dyDescent="0.35">
      <c r="A28" s="26" t="s">
        <v>125</v>
      </c>
      <c r="B28" s="19">
        <v>38.166666666666664</v>
      </c>
      <c r="C28" s="23"/>
    </row>
    <row r="29" spans="1:3" x14ac:dyDescent="0.35">
      <c r="A29" s="26" t="s">
        <v>126</v>
      </c>
      <c r="B29" s="21">
        <v>70.25</v>
      </c>
      <c r="C29" s="23"/>
    </row>
    <row r="30" spans="1:3" x14ac:dyDescent="0.35">
      <c r="A30" s="26" t="s">
        <v>127</v>
      </c>
      <c r="B30" s="19">
        <v>54.72</v>
      </c>
      <c r="C30" s="23"/>
    </row>
    <row r="31" spans="1:3" x14ac:dyDescent="0.35">
      <c r="A31" s="26" t="s">
        <v>128</v>
      </c>
      <c r="B31" s="19">
        <v>82.46</v>
      </c>
      <c r="C31" s="23"/>
    </row>
    <row r="32" spans="1:3" x14ac:dyDescent="0.35">
      <c r="A32" s="26" t="s">
        <v>129</v>
      </c>
      <c r="B32" s="20">
        <v>22.4</v>
      </c>
      <c r="C32" s="23"/>
    </row>
    <row r="33" spans="1:3" x14ac:dyDescent="0.35">
      <c r="A33" s="26" t="s">
        <v>130</v>
      </c>
      <c r="B33" s="18">
        <v>35.119999999999997</v>
      </c>
      <c r="C33" s="23"/>
    </row>
    <row r="34" spans="1:3" x14ac:dyDescent="0.35">
      <c r="A34" s="26" t="s">
        <v>131</v>
      </c>
      <c r="B34" s="19">
        <v>67.033333333333331</v>
      </c>
      <c r="C34" s="23"/>
    </row>
    <row r="35" spans="1:3" x14ac:dyDescent="0.35">
      <c r="A35" s="26" t="s">
        <v>132</v>
      </c>
      <c r="B35" s="19">
        <v>43.82</v>
      </c>
      <c r="C35" s="23"/>
    </row>
    <row r="36" spans="1:3" x14ac:dyDescent="0.35">
      <c r="A36" s="26" t="s">
        <v>133</v>
      </c>
      <c r="B36" s="19">
        <v>4.8833333333333329</v>
      </c>
      <c r="C36" s="23"/>
    </row>
    <row r="37" spans="1:3" x14ac:dyDescent="0.35">
      <c r="A37" s="26" t="s">
        <v>134</v>
      </c>
      <c r="B37" s="19">
        <v>11.17</v>
      </c>
      <c r="C37" s="23"/>
    </row>
    <row r="38" spans="1:3" x14ac:dyDescent="0.35">
      <c r="A38" s="26" t="s">
        <v>135</v>
      </c>
      <c r="B38" s="19">
        <v>42.883333333333333</v>
      </c>
      <c r="C38" s="23"/>
    </row>
    <row r="39" spans="1:3" x14ac:dyDescent="0.35">
      <c r="A39" s="26" t="s">
        <v>136</v>
      </c>
      <c r="B39" s="21">
        <v>70.132500000000007</v>
      </c>
      <c r="C39" s="23"/>
    </row>
    <row r="40" spans="1:3" x14ac:dyDescent="0.35">
      <c r="A40" s="26" t="s">
        <v>137</v>
      </c>
      <c r="B40" s="19">
        <v>30.044166666666666</v>
      </c>
      <c r="C40" s="23"/>
    </row>
    <row r="41" spans="1:3" x14ac:dyDescent="0.35">
      <c r="A41" s="26" t="s">
        <v>138</v>
      </c>
      <c r="B41" s="19">
        <v>50.088333333333338</v>
      </c>
      <c r="C41" s="23"/>
    </row>
    <row r="42" spans="1:3" x14ac:dyDescent="0.35">
      <c r="A42" s="26" t="s">
        <v>139</v>
      </c>
      <c r="B42" s="22">
        <v>62.45</v>
      </c>
      <c r="C42" s="23"/>
    </row>
    <row r="43" spans="1:3" x14ac:dyDescent="0.35">
      <c r="A43" s="26" t="s">
        <v>140</v>
      </c>
      <c r="B43" s="21">
        <v>105.83333333333333</v>
      </c>
      <c r="C43" s="23"/>
    </row>
    <row r="44" spans="1:3" x14ac:dyDescent="0.35">
      <c r="A44" s="26" t="s">
        <v>141</v>
      </c>
      <c r="B44" s="19">
        <v>94.911666666666662</v>
      </c>
      <c r="C44" s="23"/>
    </row>
    <row r="45" spans="1:3" x14ac:dyDescent="0.35">
      <c r="A45" s="26" t="s">
        <v>142</v>
      </c>
      <c r="B45" s="19">
        <v>50.883333333333333</v>
      </c>
      <c r="C45" s="23"/>
    </row>
    <row r="46" spans="1:3" x14ac:dyDescent="0.35">
      <c r="A46" s="26" t="s">
        <v>143</v>
      </c>
      <c r="B46" s="18">
        <v>0</v>
      </c>
      <c r="C46" s="23"/>
    </row>
    <row r="47" spans="1:3" x14ac:dyDescent="0.35">
      <c r="A47" s="26" t="s">
        <v>144</v>
      </c>
      <c r="B47" s="19">
        <v>143.71</v>
      </c>
      <c r="C47" s="23"/>
    </row>
    <row r="48" spans="1:3" x14ac:dyDescent="0.35">
      <c r="A48" s="26" t="s">
        <v>145</v>
      </c>
      <c r="B48" s="18">
        <v>0</v>
      </c>
      <c r="C48" s="23"/>
    </row>
    <row r="49" spans="1:3" x14ac:dyDescent="0.35">
      <c r="A49" s="26" t="s">
        <v>146</v>
      </c>
      <c r="B49" s="18">
        <v>78.17</v>
      </c>
      <c r="C49" s="23"/>
    </row>
    <row r="50" spans="1:3" x14ac:dyDescent="0.35">
      <c r="A50" s="26" t="s">
        <v>147</v>
      </c>
      <c r="B50" s="18">
        <v>142.96</v>
      </c>
      <c r="C50" s="23"/>
    </row>
    <row r="51" spans="1:3" x14ac:dyDescent="0.35">
      <c r="A51" s="26" t="s">
        <v>148</v>
      </c>
      <c r="B51" s="18">
        <v>11.4</v>
      </c>
      <c r="C51" s="23"/>
    </row>
    <row r="52" spans="1:3" x14ac:dyDescent="0.35">
      <c r="A52" s="26" t="s">
        <v>149</v>
      </c>
      <c r="B52" s="18">
        <v>0</v>
      </c>
      <c r="C52" s="23"/>
    </row>
    <row r="53" spans="1:3" x14ac:dyDescent="0.35">
      <c r="A53" s="26" t="s">
        <v>150</v>
      </c>
      <c r="B53" s="18">
        <v>5.83</v>
      </c>
      <c r="C53" s="23"/>
    </row>
    <row r="54" spans="1:3" x14ac:dyDescent="0.35">
      <c r="A54" s="26" t="s">
        <v>151</v>
      </c>
      <c r="B54" s="18">
        <v>312.42</v>
      </c>
      <c r="C54" s="23"/>
    </row>
    <row r="55" spans="1:3" x14ac:dyDescent="0.35">
      <c r="A55" s="26" t="s">
        <v>152</v>
      </c>
      <c r="B55" s="17">
        <v>282</v>
      </c>
      <c r="C55" s="23"/>
    </row>
    <row r="56" spans="1:3" x14ac:dyDescent="0.35">
      <c r="A56" s="26" t="s">
        <v>153</v>
      </c>
      <c r="B56" s="18">
        <v>0</v>
      </c>
      <c r="C56" s="23"/>
    </row>
    <row r="57" spans="1:3" x14ac:dyDescent="0.35">
      <c r="A57" s="26" t="s">
        <v>154</v>
      </c>
      <c r="B57" s="18">
        <v>0</v>
      </c>
      <c r="C57" s="23"/>
    </row>
    <row r="58" spans="1:3" x14ac:dyDescent="0.35">
      <c r="A58" s="26" t="s">
        <v>155</v>
      </c>
      <c r="B58" s="18">
        <v>20.883333333333333</v>
      </c>
      <c r="C58" s="23"/>
    </row>
    <row r="59" spans="1:3" x14ac:dyDescent="0.35">
      <c r="A59" s="26" t="s">
        <v>156</v>
      </c>
      <c r="B59" s="18">
        <v>0</v>
      </c>
      <c r="C59" s="23"/>
    </row>
    <row r="60" spans="1:3" x14ac:dyDescent="0.35">
      <c r="A60" s="26" t="s">
        <v>157</v>
      </c>
      <c r="B60" s="18">
        <v>0</v>
      </c>
      <c r="C60" s="23"/>
    </row>
    <row r="61" spans="1:3" x14ac:dyDescent="0.35">
      <c r="A61" s="26" t="s">
        <v>158</v>
      </c>
      <c r="B61" s="18">
        <v>0</v>
      </c>
      <c r="C61" s="23"/>
    </row>
    <row r="62" spans="1:3" x14ac:dyDescent="0.35">
      <c r="A62" s="26" t="s">
        <v>159</v>
      </c>
      <c r="B62" s="17">
        <v>20.440000000000001</v>
      </c>
      <c r="C62" s="23"/>
    </row>
    <row r="63" spans="1:3" x14ac:dyDescent="0.35">
      <c r="A63" s="26" t="s">
        <v>160</v>
      </c>
      <c r="B63" s="18">
        <v>0</v>
      </c>
      <c r="C63" s="23"/>
    </row>
    <row r="64" spans="1:3" x14ac:dyDescent="0.35">
      <c r="A64" s="26" t="s">
        <v>161</v>
      </c>
      <c r="B64" s="18">
        <v>31.44</v>
      </c>
      <c r="C64" s="23"/>
    </row>
    <row r="65" spans="1:3" x14ac:dyDescent="0.35">
      <c r="A65" s="26" t="s">
        <v>162</v>
      </c>
      <c r="B65" s="18">
        <v>29.78</v>
      </c>
      <c r="C65" s="23"/>
    </row>
    <row r="66" spans="1:3" x14ac:dyDescent="0.35">
      <c r="A66" s="26" t="s">
        <v>163</v>
      </c>
      <c r="B66" s="18">
        <v>55.83</v>
      </c>
      <c r="C66" s="23"/>
    </row>
    <row r="67" spans="1:3" x14ac:dyDescent="0.35">
      <c r="A67" s="26" t="s">
        <v>164</v>
      </c>
      <c r="B67" s="18">
        <v>0</v>
      </c>
      <c r="C67" s="23"/>
    </row>
    <row r="68" spans="1:3" x14ac:dyDescent="0.35">
      <c r="A68" s="26" t="s">
        <v>165</v>
      </c>
      <c r="B68" s="18">
        <v>0</v>
      </c>
      <c r="C68" s="23"/>
    </row>
    <row r="69" spans="1:3" x14ac:dyDescent="0.35">
      <c r="A69" s="26" t="s">
        <v>166</v>
      </c>
      <c r="B69" s="18">
        <v>0</v>
      </c>
      <c r="C69" s="23"/>
    </row>
    <row r="70" spans="1:3" x14ac:dyDescent="0.35">
      <c r="A70" s="26" t="s">
        <v>167</v>
      </c>
      <c r="B70" s="18">
        <v>11.6</v>
      </c>
      <c r="C70" s="23"/>
    </row>
    <row r="71" spans="1:3" x14ac:dyDescent="0.35">
      <c r="A71" s="26" t="s">
        <v>168</v>
      </c>
      <c r="B71" s="18">
        <v>0</v>
      </c>
      <c r="C71" s="23"/>
    </row>
    <row r="72" spans="1:3" x14ac:dyDescent="0.35">
      <c r="A72" s="26" t="s">
        <v>169</v>
      </c>
      <c r="B72" s="18">
        <v>0</v>
      </c>
      <c r="C72" s="23"/>
    </row>
    <row r="73" spans="1:3" x14ac:dyDescent="0.35">
      <c r="A73" s="26" t="s">
        <v>170</v>
      </c>
      <c r="B73" s="20">
        <v>98.416666666666657</v>
      </c>
      <c r="C73" s="23"/>
    </row>
    <row r="74" spans="1:3" x14ac:dyDescent="0.35">
      <c r="A74" s="26" t="s">
        <v>171</v>
      </c>
      <c r="B74" s="20">
        <v>99.3</v>
      </c>
      <c r="C74" s="23"/>
    </row>
    <row r="75" spans="1:3" x14ac:dyDescent="0.35">
      <c r="A75" s="23"/>
      <c r="B75" s="23"/>
      <c r="C75" s="23"/>
    </row>
  </sheetData>
  <sortState xmlns:xlrd2="http://schemas.microsoft.com/office/spreadsheetml/2017/richdata2" ref="A2:B74">
    <sortCondition descending="1" ref="B74"/>
  </sortState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30FE-9EE7-4C16-B66F-0C98A4C60D48}">
  <dimension ref="A1:C19"/>
  <sheetViews>
    <sheetView workbookViewId="0"/>
  </sheetViews>
  <sheetFormatPr defaultRowHeight="14.5" x14ac:dyDescent="0.35"/>
  <cols>
    <col min="1" max="1" width="27.7265625" bestFit="1" customWidth="1"/>
    <col min="2" max="2" width="102.54296875" customWidth="1"/>
    <col min="3" max="3" width="8.7265625" bestFit="1" customWidth="1"/>
  </cols>
  <sheetData>
    <row r="1" spans="1:3" s="15" customFormat="1" x14ac:dyDescent="0.35">
      <c r="A1" s="9" t="s">
        <v>236</v>
      </c>
      <c r="B1" s="9"/>
      <c r="C1" s="9" t="s">
        <v>237</v>
      </c>
    </row>
    <row r="2" spans="1:3" x14ac:dyDescent="0.35">
      <c r="A2" s="3" t="s">
        <v>172</v>
      </c>
      <c r="B2" s="3" t="s">
        <v>173</v>
      </c>
      <c r="C2" s="8">
        <v>397.48333333333301</v>
      </c>
    </row>
    <row r="3" spans="1:3" x14ac:dyDescent="0.35">
      <c r="A3" s="3" t="s">
        <v>174</v>
      </c>
      <c r="B3" s="3" t="s">
        <v>175</v>
      </c>
      <c r="C3" s="8">
        <v>40.119999999999997</v>
      </c>
    </row>
    <row r="4" spans="1:3" x14ac:dyDescent="0.35">
      <c r="A4" s="3" t="s">
        <v>176</v>
      </c>
      <c r="B4" s="3" t="s">
        <v>177</v>
      </c>
      <c r="C4" s="8">
        <v>22.333333333333332</v>
      </c>
    </row>
    <row r="5" spans="1:3" x14ac:dyDescent="0.35">
      <c r="A5" s="3" t="s">
        <v>178</v>
      </c>
      <c r="B5" s="3" t="s">
        <v>179</v>
      </c>
      <c r="C5" s="8">
        <v>43.516666666666666</v>
      </c>
    </row>
    <row r="6" spans="1:3" x14ac:dyDescent="0.35">
      <c r="A6" s="3" t="s">
        <v>180</v>
      </c>
      <c r="B6" s="3" t="s">
        <v>181</v>
      </c>
      <c r="C6" s="8">
        <v>22.833333333333332</v>
      </c>
    </row>
    <row r="7" spans="1:3" x14ac:dyDescent="0.35">
      <c r="A7" s="3" t="s">
        <v>182</v>
      </c>
      <c r="B7" s="3" t="s">
        <v>183</v>
      </c>
      <c r="C7" s="24">
        <v>942.625</v>
      </c>
    </row>
    <row r="8" spans="1:3" x14ac:dyDescent="0.35">
      <c r="A8" s="3" t="s">
        <v>184</v>
      </c>
      <c r="B8" s="3" t="s">
        <v>185</v>
      </c>
      <c r="C8" s="24"/>
    </row>
    <row r="9" spans="1:3" x14ac:dyDescent="0.35">
      <c r="A9" s="3" t="s">
        <v>186</v>
      </c>
      <c r="B9" s="3" t="s">
        <v>187</v>
      </c>
      <c r="C9" s="8">
        <v>0.56000000000000005</v>
      </c>
    </row>
    <row r="10" spans="1:3" x14ac:dyDescent="0.35">
      <c r="A10" s="3" t="s">
        <v>188</v>
      </c>
      <c r="B10" s="3" t="s">
        <v>189</v>
      </c>
      <c r="C10" s="8">
        <v>79.37</v>
      </c>
    </row>
    <row r="11" spans="1:3" x14ac:dyDescent="0.35">
      <c r="A11" s="3" t="s">
        <v>190</v>
      </c>
      <c r="B11" s="3" t="s">
        <v>191</v>
      </c>
      <c r="C11" s="8">
        <v>15.52</v>
      </c>
    </row>
    <row r="12" spans="1:3" x14ac:dyDescent="0.35">
      <c r="A12" s="3" t="s">
        <v>192</v>
      </c>
      <c r="B12" s="3" t="s">
        <v>193</v>
      </c>
      <c r="C12" s="8">
        <v>0.64</v>
      </c>
    </row>
    <row r="13" spans="1:3" x14ac:dyDescent="0.35">
      <c r="A13" s="3" t="s">
        <v>194</v>
      </c>
      <c r="B13" s="3" t="s">
        <v>195</v>
      </c>
      <c r="C13" s="8">
        <v>185.5</v>
      </c>
    </row>
    <row r="14" spans="1:3" x14ac:dyDescent="0.35">
      <c r="A14" s="3" t="s">
        <v>196</v>
      </c>
      <c r="B14" s="3"/>
      <c r="C14" s="4">
        <v>13.5</v>
      </c>
    </row>
    <row r="15" spans="1:3" x14ac:dyDescent="0.35">
      <c r="A15" s="3" t="s">
        <v>197</v>
      </c>
      <c r="B15" s="3" t="s">
        <v>198</v>
      </c>
      <c r="C15" s="4">
        <v>16.899999999999999</v>
      </c>
    </row>
    <row r="16" spans="1:3" x14ac:dyDescent="0.35">
      <c r="A16" s="3" t="s">
        <v>199</v>
      </c>
      <c r="B16" s="3" t="s">
        <v>200</v>
      </c>
      <c r="C16" s="4">
        <v>17.649999999999999</v>
      </c>
    </row>
    <row r="17" spans="1:3" x14ac:dyDescent="0.35">
      <c r="A17" s="3" t="s">
        <v>201</v>
      </c>
      <c r="B17" s="3" t="s">
        <v>202</v>
      </c>
      <c r="C17" s="4">
        <v>144.94999999999999</v>
      </c>
    </row>
    <row r="18" spans="1:3" x14ac:dyDescent="0.35">
      <c r="A18" s="3" t="s">
        <v>203</v>
      </c>
      <c r="B18" s="3" t="s">
        <v>204</v>
      </c>
      <c r="C18" s="8">
        <v>116.83</v>
      </c>
    </row>
    <row r="19" spans="1:3" x14ac:dyDescent="0.35">
      <c r="A19" t="s">
        <v>26</v>
      </c>
      <c r="B19" s="5"/>
      <c r="C19" s="6">
        <v>450</v>
      </c>
    </row>
  </sheetData>
  <mergeCells count="1">
    <mergeCell ref="C7:C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67B66-6899-45D4-ADF8-D7BF99214F60}">
  <dimension ref="A1:G15"/>
  <sheetViews>
    <sheetView workbookViewId="0">
      <selection activeCell="C31" sqref="C31"/>
    </sheetView>
  </sheetViews>
  <sheetFormatPr defaultRowHeight="14.5" x14ac:dyDescent="0.35"/>
  <cols>
    <col min="2" max="2" width="43" customWidth="1"/>
    <col min="5" max="6" width="27.26953125" bestFit="1" customWidth="1"/>
  </cols>
  <sheetData>
    <row r="1" spans="1:7" x14ac:dyDescent="0.35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</row>
    <row r="2" spans="1:7" x14ac:dyDescent="0.35">
      <c r="A2" t="s">
        <v>42</v>
      </c>
      <c r="B2" t="s">
        <v>43</v>
      </c>
      <c r="C2">
        <v>1.08</v>
      </c>
      <c r="D2">
        <f>ROUND(E2*C2,4)</f>
        <v>3.3877000000000002</v>
      </c>
      <c r="E2">
        <v>3.1368</v>
      </c>
      <c r="F2">
        <f>ROUND(E2*1.024,4)</f>
        <v>3.2121</v>
      </c>
      <c r="G2">
        <f>ROUND(F2*C2,4)</f>
        <v>3.4691000000000001</v>
      </c>
    </row>
    <row r="3" spans="1:7" x14ac:dyDescent="0.35">
      <c r="A3" t="s">
        <v>44</v>
      </c>
      <c r="B3" t="s">
        <v>45</v>
      </c>
      <c r="C3">
        <v>1.8</v>
      </c>
      <c r="D3">
        <f t="shared" ref="D3:D15" si="0">ROUND(E3*C3,4)</f>
        <v>5.6462000000000003</v>
      </c>
      <c r="E3">
        <v>3.1368</v>
      </c>
      <c r="F3">
        <f t="shared" ref="F3:F15" si="1">ROUND(E3*1.024,4)</f>
        <v>3.2121</v>
      </c>
      <c r="G3">
        <f t="shared" ref="G3:G15" si="2">ROUND(F3*C3,4)</f>
        <v>5.7817999999999996</v>
      </c>
    </row>
    <row r="4" spans="1:7" x14ac:dyDescent="0.35">
      <c r="A4" t="s">
        <v>46</v>
      </c>
      <c r="B4" t="s">
        <v>47</v>
      </c>
      <c r="C4">
        <v>2.25</v>
      </c>
      <c r="D4">
        <f t="shared" si="0"/>
        <v>7.0578000000000003</v>
      </c>
      <c r="E4">
        <v>3.1368</v>
      </c>
      <c r="F4">
        <f t="shared" si="1"/>
        <v>3.2121</v>
      </c>
      <c r="G4">
        <f t="shared" si="2"/>
        <v>7.2271999999999998</v>
      </c>
    </row>
    <row r="5" spans="1:7" x14ac:dyDescent="0.35">
      <c r="A5" t="s">
        <v>48</v>
      </c>
      <c r="B5" t="s">
        <v>49</v>
      </c>
      <c r="C5">
        <v>1</v>
      </c>
      <c r="D5">
        <f t="shared" si="0"/>
        <v>3.9009999999999998</v>
      </c>
      <c r="E5">
        <v>3.9009999999999998</v>
      </c>
      <c r="F5">
        <f t="shared" si="1"/>
        <v>3.9946000000000002</v>
      </c>
      <c r="G5">
        <f t="shared" si="2"/>
        <v>3.9946000000000002</v>
      </c>
    </row>
    <row r="6" spans="1:7" x14ac:dyDescent="0.35">
      <c r="A6" t="s">
        <v>50</v>
      </c>
      <c r="B6" t="s">
        <v>51</v>
      </c>
      <c r="C6">
        <v>1</v>
      </c>
      <c r="D6">
        <f t="shared" si="0"/>
        <v>3.9009999999999998</v>
      </c>
      <c r="E6">
        <v>3.9009999999999998</v>
      </c>
      <c r="F6">
        <f t="shared" si="1"/>
        <v>3.9946000000000002</v>
      </c>
      <c r="G6">
        <f t="shared" si="2"/>
        <v>3.9946000000000002</v>
      </c>
    </row>
    <row r="7" spans="1:7" x14ac:dyDescent="0.35">
      <c r="A7" t="s">
        <v>15</v>
      </c>
      <c r="B7" t="s">
        <v>52</v>
      </c>
      <c r="C7">
        <v>2.5</v>
      </c>
      <c r="D7">
        <f t="shared" si="0"/>
        <v>9.7524999999999995</v>
      </c>
      <c r="E7">
        <v>3.9009999999999998</v>
      </c>
      <c r="F7">
        <f t="shared" si="1"/>
        <v>3.9946000000000002</v>
      </c>
      <c r="G7">
        <f t="shared" si="2"/>
        <v>9.9864999999999995</v>
      </c>
    </row>
    <row r="8" spans="1:7" x14ac:dyDescent="0.35">
      <c r="A8" t="s">
        <v>16</v>
      </c>
      <c r="B8" t="s">
        <v>53</v>
      </c>
      <c r="C8">
        <v>3.5</v>
      </c>
      <c r="D8">
        <f t="shared" si="0"/>
        <v>13.653499999999999</v>
      </c>
      <c r="E8">
        <v>3.9009999999999998</v>
      </c>
      <c r="F8">
        <f t="shared" si="1"/>
        <v>3.9946000000000002</v>
      </c>
      <c r="G8">
        <f t="shared" si="2"/>
        <v>13.9811</v>
      </c>
    </row>
    <row r="9" spans="1:7" x14ac:dyDescent="0.35">
      <c r="A9" t="s">
        <v>12</v>
      </c>
      <c r="B9" t="s">
        <v>54</v>
      </c>
      <c r="C9">
        <v>1</v>
      </c>
      <c r="D9">
        <f t="shared" si="0"/>
        <v>3.9009999999999998</v>
      </c>
      <c r="E9">
        <v>3.9009999999999998</v>
      </c>
      <c r="F9">
        <f t="shared" si="1"/>
        <v>3.9946000000000002</v>
      </c>
      <c r="G9">
        <f t="shared" si="2"/>
        <v>3.9946000000000002</v>
      </c>
    </row>
    <row r="10" spans="1:7" x14ac:dyDescent="0.35">
      <c r="A10" t="s">
        <v>11</v>
      </c>
      <c r="B10" t="s">
        <v>55</v>
      </c>
      <c r="C10">
        <v>1.8</v>
      </c>
      <c r="D10">
        <f t="shared" si="0"/>
        <v>7.0217999999999998</v>
      </c>
      <c r="E10">
        <v>3.9009999999999998</v>
      </c>
      <c r="F10">
        <f t="shared" si="1"/>
        <v>3.9946000000000002</v>
      </c>
      <c r="G10">
        <f t="shared" si="2"/>
        <v>7.1902999999999997</v>
      </c>
    </row>
    <row r="11" spans="1:7" x14ac:dyDescent="0.35">
      <c r="A11" t="s">
        <v>10</v>
      </c>
      <c r="B11" t="s">
        <v>56</v>
      </c>
      <c r="C11">
        <v>3.5</v>
      </c>
      <c r="D11">
        <f t="shared" si="0"/>
        <v>13.653499999999999</v>
      </c>
      <c r="E11">
        <v>3.9009999999999998</v>
      </c>
      <c r="F11">
        <f t="shared" si="1"/>
        <v>3.9946000000000002</v>
      </c>
      <c r="G11">
        <f t="shared" si="2"/>
        <v>13.9811</v>
      </c>
    </row>
    <row r="12" spans="1:7" x14ac:dyDescent="0.35">
      <c r="A12" t="s">
        <v>20</v>
      </c>
      <c r="B12" t="s">
        <v>57</v>
      </c>
      <c r="C12">
        <v>1.08</v>
      </c>
      <c r="D12">
        <f t="shared" si="0"/>
        <v>2.5095999999999998</v>
      </c>
      <c r="E12">
        <v>2.3237000000000001</v>
      </c>
      <c r="F12">
        <f t="shared" si="1"/>
        <v>2.3795000000000002</v>
      </c>
      <c r="G12">
        <f t="shared" si="2"/>
        <v>2.5699000000000001</v>
      </c>
    </row>
    <row r="13" spans="1:7" x14ac:dyDescent="0.35">
      <c r="A13" t="s">
        <v>19</v>
      </c>
      <c r="B13" t="s">
        <v>58</v>
      </c>
      <c r="C13">
        <v>1.8</v>
      </c>
      <c r="D13">
        <f t="shared" si="0"/>
        <v>4.1826999999999996</v>
      </c>
      <c r="E13">
        <v>2.3237000000000001</v>
      </c>
      <c r="F13">
        <f t="shared" si="1"/>
        <v>2.3795000000000002</v>
      </c>
      <c r="G13">
        <f t="shared" si="2"/>
        <v>4.2831000000000001</v>
      </c>
    </row>
    <row r="14" spans="1:7" x14ac:dyDescent="0.35">
      <c r="A14" t="s">
        <v>59</v>
      </c>
      <c r="B14" t="s">
        <v>60</v>
      </c>
      <c r="C14">
        <v>2.25</v>
      </c>
      <c r="D14">
        <f t="shared" si="0"/>
        <v>5.2282999999999999</v>
      </c>
      <c r="E14">
        <v>2.3237000000000001</v>
      </c>
      <c r="F14">
        <f t="shared" si="1"/>
        <v>2.3795000000000002</v>
      </c>
      <c r="G14">
        <f t="shared" si="2"/>
        <v>5.3539000000000003</v>
      </c>
    </row>
    <row r="15" spans="1:7" x14ac:dyDescent="0.35">
      <c r="A15" t="s">
        <v>61</v>
      </c>
      <c r="B15" t="s">
        <v>62</v>
      </c>
      <c r="C15">
        <v>2.5</v>
      </c>
      <c r="D15">
        <f t="shared" si="0"/>
        <v>9.7524999999999995</v>
      </c>
      <c r="E15">
        <v>3.9009999999999998</v>
      </c>
      <c r="F15">
        <f t="shared" si="1"/>
        <v>3.9946000000000002</v>
      </c>
      <c r="G15">
        <f t="shared" si="2"/>
        <v>9.9864999999999995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kalkulacni list</vt:lpstr>
      <vt:lpstr>přístroje</vt:lpstr>
      <vt:lpstr>materiál</vt:lpstr>
      <vt:lpstr>léky</vt:lpstr>
      <vt:lpstr>nositele číselník</vt:lpstr>
    </vt:vector>
  </TitlesOfParts>
  <Company>MZCR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Žílová Pavlína, Mgr.</dc:creator>
  <cp:lastModifiedBy>Žílová Pavlína, Mgr.</cp:lastModifiedBy>
  <dcterms:created xsi:type="dcterms:W3CDTF">2025-05-21T06:38:13Z</dcterms:created>
  <dcterms:modified xsi:type="dcterms:W3CDTF">2025-08-29T11:17:50Z</dcterms:modified>
</cp:coreProperties>
</file>